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SERVER\Depto_Contabilidad\O.F.S\JUMAPAC GENERADOR CP 2025\INFORMACION FINANCIERA ZFIR032 2503\"/>
    </mc:Choice>
  </mc:AlternateContent>
  <xr:revisionPtr revIDLastSave="0" documentId="8_{6C438C20-159B-440F-89B3-283929E6582C}" xr6:coauthVersionLast="47" xr6:coauthVersionMax="47" xr10:uidLastSave="{00000000-0000-0000-0000-000000000000}"/>
  <bookViews>
    <workbookView xWindow="-120" yWindow="-120" windowWidth="29040" windowHeight="1584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REV!$A$5:$D$5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6" l="1"/>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E30" i="9" l="1"/>
  <c r="D16" i="9"/>
  <c r="C3" i="8"/>
  <c r="B3" i="8"/>
  <c r="C45" i="7"/>
  <c r="B33" i="7"/>
  <c r="C43" i="6"/>
  <c r="B43" i="6"/>
  <c r="C3" i="6"/>
  <c r="C28" i="4"/>
  <c r="B24" i="3"/>
  <c r="D38" i="5"/>
  <c r="B3" i="6"/>
  <c r="C59" i="7"/>
  <c r="C24" i="3"/>
  <c r="B28" i="4"/>
  <c r="F26" i="4"/>
  <c r="B45" i="7"/>
  <c r="E12" i="8"/>
  <c r="B24" i="6"/>
  <c r="E16" i="9"/>
  <c r="C24" i="6"/>
  <c r="C33" i="7"/>
  <c r="D30" i="9"/>
  <c r="E20" i="5"/>
  <c r="E38" i="5" s="1"/>
  <c r="F9" i="5"/>
  <c r="B64" i="3"/>
  <c r="B66" i="3" s="1"/>
  <c r="D3" i="8"/>
  <c r="F27" i="5"/>
  <c r="B59" i="7"/>
  <c r="C64" i="3"/>
  <c r="E46" i="4"/>
  <c r="E4" i="8"/>
  <c r="F46" i="4"/>
  <c r="E26" i="4"/>
  <c r="F116" i="13" s="1"/>
  <c r="F16" i="8"/>
  <c r="F12" i="8" s="1"/>
  <c r="F6" i="8"/>
  <c r="F4" i="8" s="1"/>
  <c r="B38" i="5"/>
  <c r="F4" i="5"/>
  <c r="C20" i="5"/>
  <c r="C38" i="5" s="1"/>
  <c r="E3" i="9" l="1"/>
  <c r="E34" i="9" s="1"/>
  <c r="D3" i="9"/>
  <c r="D34" i="9" s="1"/>
  <c r="C61" i="7"/>
  <c r="F48" i="4"/>
  <c r="C66" i="3"/>
  <c r="B61" i="7"/>
  <c r="E48" i="4"/>
  <c r="E3" i="8"/>
  <c r="F3" i="8"/>
  <c r="F20" i="5"/>
  <c r="F38" i="5"/>
  <c r="D23" i="20" l="1"/>
  <c r="D22" i="20"/>
  <c r="D21" i="20"/>
  <c r="D20" i="20"/>
  <c r="D19" i="20"/>
  <c r="D18" i="20"/>
  <c r="D17" i="20"/>
  <c r="D16" i="20"/>
  <c r="D15" i="20"/>
  <c r="D14" i="20"/>
  <c r="D10" i="20"/>
  <c r="D9" i="20"/>
  <c r="D8" i="20"/>
  <c r="D7" i="20"/>
  <c r="D6" i="20"/>
  <c r="D5" i="20"/>
  <c r="D4" i="20"/>
  <c r="C15" i="15" l="1"/>
  <c r="C19" i="16" l="1"/>
  <c r="B19"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H52" i="14" s="1"/>
  <c r="E15" i="17"/>
  <c r="H51" i="14" s="1"/>
  <c r="C15" i="17"/>
  <c r="E18" i="14" s="1"/>
  <c r="B15" i="17"/>
  <c r="H49" i="14" s="1"/>
  <c r="D13" i="17"/>
  <c r="G13" i="17" s="1"/>
  <c r="D11" i="17"/>
  <c r="G11" i="17" s="1"/>
  <c r="D9" i="17"/>
  <c r="G9" i="17" s="1"/>
  <c r="D7" i="17"/>
  <c r="G7" i="17" s="1"/>
  <c r="D5" i="17"/>
  <c r="G5" i="17" s="1"/>
  <c r="F54" i="16"/>
  <c r="E54" i="16"/>
  <c r="C54" i="16"/>
  <c r="B54" i="16"/>
  <c r="D52" i="16"/>
  <c r="G52" i="16" s="1"/>
  <c r="D50" i="16"/>
  <c r="G50" i="16" s="1"/>
  <c r="D48" i="16"/>
  <c r="G48" i="16" s="1"/>
  <c r="D46" i="16"/>
  <c r="G46" i="16" s="1"/>
  <c r="D44" i="16"/>
  <c r="G44" i="16" s="1"/>
  <c r="D42" i="16"/>
  <c r="G42" i="16" s="1"/>
  <c r="D40" i="16"/>
  <c r="G40" i="16" s="1"/>
  <c r="D38" i="16"/>
  <c r="F31" i="16"/>
  <c r="E31" i="16"/>
  <c r="C31" i="16"/>
  <c r="B31" i="16"/>
  <c r="D29" i="16"/>
  <c r="G29" i="16" s="1"/>
  <c r="D28" i="16"/>
  <c r="G28" i="16" s="1"/>
  <c r="D27" i="16"/>
  <c r="G27" i="16" s="1"/>
  <c r="D26" i="16"/>
  <c r="G26" i="16" s="1"/>
  <c r="F19" i="16"/>
  <c r="H47" i="14" s="1"/>
  <c r="E19" i="16"/>
  <c r="E14" i="14" s="1"/>
  <c r="H45" i="14"/>
  <c r="E12" i="14"/>
  <c r="D18" i="16"/>
  <c r="G18"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E13" i="24" l="1"/>
  <c r="E17" i="24" s="1"/>
  <c r="E21" i="24" s="1"/>
  <c r="E15" i="14"/>
  <c r="I15" i="14" s="1"/>
  <c r="E20" i="14"/>
  <c r="I20" i="14" s="1"/>
  <c r="H56" i="14"/>
  <c r="E19" i="14"/>
  <c r="I19" i="14" s="1"/>
  <c r="I18" i="14"/>
  <c r="H50" i="14"/>
  <c r="E17" i="14"/>
  <c r="D42" i="18"/>
  <c r="G42" i="18" s="1"/>
  <c r="D12" i="18"/>
  <c r="G12" i="18" s="1"/>
  <c r="F5" i="22"/>
  <c r="F36" i="22" s="1"/>
  <c r="E47" i="14" s="1"/>
  <c r="I47" i="14" s="1"/>
  <c r="B5" i="22"/>
  <c r="B36" i="22" s="1"/>
  <c r="E44" i="14" s="1"/>
  <c r="C26" i="20"/>
  <c r="E33" i="14" s="1"/>
  <c r="G19" i="15"/>
  <c r="C38" i="15"/>
  <c r="B26"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54" i="16"/>
  <c r="F41" i="19"/>
  <c r="H62" i="14" s="1"/>
  <c r="E38" i="15"/>
  <c r="G38" i="16"/>
  <c r="G54" i="16" s="1"/>
  <c r="G16" i="19"/>
  <c r="G15" i="19" s="1"/>
  <c r="D22" i="22"/>
  <c r="I17" i="14"/>
  <c r="D15" i="15"/>
  <c r="D64" i="18"/>
  <c r="G64" i="18" s="1"/>
  <c r="G35" i="19"/>
  <c r="G15" i="15"/>
  <c r="G29" i="15"/>
  <c r="G38" i="15" s="1"/>
  <c r="D29" i="15"/>
  <c r="D38" i="15" s="1"/>
  <c r="D22" i="18"/>
  <c r="G22" i="18" s="1"/>
  <c r="C5" i="22"/>
  <c r="C36" i="22" s="1"/>
  <c r="E45" i="14" s="1"/>
  <c r="I45" i="14" s="1"/>
  <c r="G22" i="22"/>
  <c r="H46" i="14"/>
  <c r="D19" i="15"/>
  <c r="D4" i="18"/>
  <c r="G4" i="18" s="1"/>
  <c r="D19" i="16"/>
  <c r="E76" i="18"/>
  <c r="E24" i="14" s="1"/>
  <c r="I24" i="14" s="1"/>
  <c r="G15" i="17"/>
  <c r="F76" i="18"/>
  <c r="H57" i="14" s="1"/>
  <c r="D5" i="19"/>
  <c r="C41" i="19"/>
  <c r="H60" i="14" s="1"/>
  <c r="D35" i="19"/>
  <c r="D9" i="22"/>
  <c r="B38" i="15"/>
  <c r="D56" i="18"/>
  <c r="G56" i="18" s="1"/>
  <c r="E41" i="19"/>
  <c r="H61" i="14" s="1"/>
  <c r="D26" i="20"/>
  <c r="E34" i="14" s="1"/>
  <c r="I34" i="14" s="1"/>
  <c r="E37" i="14"/>
  <c r="I37" i="14" s="1"/>
  <c r="E36" i="14"/>
  <c r="I36" i="14" s="1"/>
  <c r="I14" i="14"/>
  <c r="I7" i="14"/>
  <c r="D42" i="1" s="1"/>
  <c r="I9" i="14"/>
  <c r="D44" i="1" s="1"/>
  <c r="I10" i="14"/>
  <c r="D45" i="1" s="1"/>
  <c r="I8" i="14"/>
  <c r="D43" i="1" s="1"/>
  <c r="G24" i="19"/>
  <c r="G25" i="22"/>
  <c r="E61" i="14"/>
  <c r="G31" i="16"/>
  <c r="G6" i="22"/>
  <c r="G19" i="16"/>
  <c r="G12" i="22"/>
  <c r="G9" i="22" s="1"/>
  <c r="G7" i="19"/>
  <c r="G5" i="19" s="1"/>
  <c r="C76" i="18"/>
  <c r="E13" i="14"/>
  <c r="I13" i="14" s="1"/>
  <c r="D31" i="16"/>
  <c r="H44" i="14"/>
  <c r="D6" i="22"/>
  <c r="D15" i="17"/>
  <c r="E57" i="14" l="1"/>
  <c r="E62" i="14"/>
  <c r="E42" i="14"/>
  <c r="I42" i="14" s="1"/>
  <c r="E52" i="14"/>
  <c r="I52" i="14" s="1"/>
  <c r="E41" i="14"/>
  <c r="I41" i="14" s="1"/>
  <c r="E51" i="14"/>
  <c r="I51" i="14" s="1"/>
  <c r="E56" i="14"/>
  <c r="I46" i="14"/>
  <c r="E40" i="14"/>
  <c r="I40" i="14" s="1"/>
  <c r="E50" i="14"/>
  <c r="I50" i="14" s="1"/>
  <c r="I44" i="14"/>
  <c r="E39" i="14"/>
  <c r="I39" i="14" s="1"/>
  <c r="E49" i="14"/>
  <c r="I49" i="14" s="1"/>
  <c r="E54" i="14"/>
  <c r="E59" i="14"/>
  <c r="E30" i="14"/>
  <c r="I30" i="14" s="1"/>
  <c r="D41" i="19"/>
  <c r="I56" i="14"/>
  <c r="E22" i="14"/>
  <c r="I22" i="14" s="1"/>
  <c r="D46" i="1" s="1"/>
  <c r="I54" i="14"/>
  <c r="H59" i="14"/>
  <c r="I59" i="14" s="1"/>
  <c r="E55" i="14"/>
  <c r="E25" i="14"/>
  <c r="I25" i="14" s="1"/>
  <c r="E29" i="14"/>
  <c r="I29" i="14" s="1"/>
  <c r="D48" i="1" s="1"/>
  <c r="D50" i="1"/>
  <c r="D5" i="22"/>
  <c r="D36" i="22" s="1"/>
  <c r="E28" i="14"/>
  <c r="I28" i="14" s="1"/>
  <c r="G76" i="18"/>
  <c r="G41" i="19"/>
  <c r="D76" i="18"/>
  <c r="I57" i="14"/>
  <c r="I62" i="14"/>
  <c r="E60" i="14"/>
  <c r="I60" i="14" s="1"/>
  <c r="D51" i="1"/>
  <c r="G5" i="22"/>
  <c r="G36" i="22" s="1"/>
  <c r="H55" i="14"/>
  <c r="E23" i="14"/>
  <c r="I23" i="14" s="1"/>
  <c r="I61" i="14"/>
  <c r="I55" i="14" l="1"/>
  <c r="D49" i="1"/>
  <c r="D54" i="1"/>
  <c r="D52" i="1"/>
  <c r="D47"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<sst xmlns="http://schemas.openxmlformats.org/spreadsheetml/2006/main" count="1840" uniqueCount="698">
  <si>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</si>
  <si>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</si>
  <si>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</si>
  <si>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</si>
  <si>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</si>
  <si>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</si>
  <si>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</si>
  <si>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</si>
  <si>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</si>
  <si>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</si>
  <si>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</si>
  <si>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</si>
  <si>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</si>
  <si>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</si>
  <si>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</si>
  <si>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</si>
  <si>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</si>
  <si>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</si>
  <si>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</si>
  <si>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</si>
  <si>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</si>
  <si>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</si>
  <si>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</si>
  <si>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</si>
  <si>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</si>
  <si>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</si>
  <si>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</si>
  <si>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</si>
  <si>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</si>
  <si>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</si>
  <si>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</si>
  <si>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</si>
  <si>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</si>
  <si>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</si>
  <si>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</si>
  <si>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</si>
  <si>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</si>
  <si>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</si>
  <si>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</si>
  <si>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</si>
  <si>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</si>
  <si>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</si>
  <si>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</si>
  <si>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</si>
  <si>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</si>
  <si>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</si>
  <si>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</si>
  <si>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</si>
  <si>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</si>
  <si>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</si>
  <si>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</si>
  <si>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</si>
  <si>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</si>
  <si>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</si>
  <si>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</si>
  <si>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</si>
  <si>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</si>
  <si>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</si>
  <si>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</si>
  <si>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</si>
  <si>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</si>
  <si>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</si>
  <si>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</si>
  <si>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</si>
  <si>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</si>
  <si>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</si>
  <si>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</si>
  <si>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</si>
  <si>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</si>
  <si>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</si>
  <si>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</si>
  <si>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</si>
  <si>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</si>
  <si>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</si>
  <si>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</si>
  <si>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</si>
  <si>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</si>
  <si>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</si>
  <si>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</si>
  <si>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</si>
  <si>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</si>
  <si>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</si>
  <si>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</si>
  <si>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</si>
  <si>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</si>
  <si>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</si>
  <si>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</si>
  <si>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</si>
  <si>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</si>
  <si>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</si>
  <si>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</si>
  <si>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</si>
  <si>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</si>
  <si>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</si>
  <si>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</si>
  <si>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</si>
  <si>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</si>
  <si>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</si>
  <si>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</si>
  <si>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</si>
  <si>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</si>
  <si>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</si>
  <si>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</si>
  <si>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</si>
  <si>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</si>
  <si>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</si>
  <si>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</si>
  <si>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</si>
  <si>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</si>
  <si>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</si>
  <si>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</si>
  <si>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</si>
  <si>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</si>
  <si>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</si>
  <si>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</si>
  <si>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</si>
  <si>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</si>
  <si>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</si>
  <si>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</si>
  <si>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</si>
  <si>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</si>
  <si>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</si>
  <si>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</si>
  <si>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</si>
  <si>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</si>
  <si>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</si>
  <si>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</si>
  <si>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</si>
  <si>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</si>
  <si>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</si>
  <si>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</si>
  <si>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</si>
  <si>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</si>
  <si>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</si>
  <si>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</si>
  <si>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</si>
  <si>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</si>
  <si>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</si>
  <si>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</si>
  <si>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</si>
  <si>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</si>
  <si>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</si>
  <si>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</si>
  <si>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</si>
  <si>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</si>
  <si>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</si>
  <si>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</si>
  <si>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</si>
  <si>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</si>
  <si>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</si>
  <si>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</si>
  <si>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</si>
  <si>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</si>
  <si>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</si>
  <si>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</si>
  <si>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</si>
  <si>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</si>
  <si>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</si>
  <si>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</si>
  <si>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</si>
  <si>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</si>
  <si>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</si>
  <si>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</si>
  <si>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</si>
  <si>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</si>
  <si>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</si>
  <si>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</si>
  <si>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</si>
  <si>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</si>
  <si>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</si>
  <si>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</si>
  <si>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</si>
  <si>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</si>
  <si>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</si>
  <si>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</si>
  <si>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</si>
  <si>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</si>
  <si>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</si>
  <si>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</si>
  <si>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</si>
  <si>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</si>
  <si>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</si>
  <si>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</si>
  <si>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</si>
  <si>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</si>
  <si>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</si>
  <si>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</si>
  <si>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</si>
  <si>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</si>
  <si>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</si>
  <si>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</si>
  <si>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</si>
  <si>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</si>
  <si>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</si>
  <si>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</si>
  <si>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</si>
  <si>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</si>
  <si>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</si>
  <si>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</si>
  <si>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</si>
  <si>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</si>
  <si>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</si>
  <si>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</si>
  <si>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</si>
  <si>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</si>
  <si>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</si>
  <si>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</si>
  <si>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</si>
  <si>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</si>
  <si>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</si>
  <si>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</si>
  <si>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</si>
  <si>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</si>
  <si>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</si>
  <si>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</si>
  <si>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</si>
  <si>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</si>
  <si>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</si>
  <si>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</si>
  <si>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</si>
  <si>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</si>
  <si>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</si>
  <si>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</si>
  <si>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</si>
  <si>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</si>
  <si>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</si>
  <si>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</si>
  <si>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</si>
  <si>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</si>
  <si>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</si>
  <si>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</si>
  <si>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</si>
  <si>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</si>
  <si>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</si>
  <si>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</si>
  <si>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</si>
  <si>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</si>
  <si>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</si>
  <si>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</si>
  <si>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</si>
  <si>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</si>
  <si>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</si>
  <si>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</si>
  <si>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</si>
  <si>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</si>
  <si>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</si>
  <si>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</si>
  <si>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</si>
  <si>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</si>
  <si>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</si>
  <si>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</si>
  <si>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</si>
  <si>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</si>
  <si>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</si>
  <si>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</si>
  <si>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</si>
  <si>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</si>
  <si>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</si>
  <si>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</si>
  <si>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</si>
  <si>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</si>
  <si>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</si>
  <si>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</si>
  <si>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</si>
  <si>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</si>
  <si>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</si>
  <si>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</si>
  <si>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</si>
  <si>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</si>
  <si>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</si>
  <si>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</si>
  <si>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</si>
  <si>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</si>
  <si>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</si>
  <si>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</si>
  <si>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</si>
  <si>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</si>
  <si>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</si>
  <si>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</si>
  <si>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</si>
  <si>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</si>
  <si>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</si>
  <si>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</si>
  <si>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</si>
  <si>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</si>
  <si>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</si>
  <si>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</si>
  <si>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</si>
  <si>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</si>
  <si>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</si>
  <si>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</si>
  <si>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</si>
  <si>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</si>
  <si>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</si>
  <si>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</si>
  <si>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</si>
  <si>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</si>
  <si>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</si>
  <si>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</si>
  <si>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</si>
  <si>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</si>
  <si>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</si>
  <si>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</si>
  <si>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</si>
  <si>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</si>
  <si>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</si>
  <si>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</si>
  <si>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</si>
  <si>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</si>
  <si>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</si>
  <si>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</si>
  <si>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</si>
  <si>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</si>
  <si>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</si>
  <si>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</si>
  <si>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</si>
  <si>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</si>
  <si>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</si>
  <si>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</si>
  <si>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</si>
  <si>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</si>
  <si>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</si>
  <si>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</si>
  <si>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</si>
  <si>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</si>
  <si>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</si>
  <si>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</si>
  <si>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</si>
  <si>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</si>
  <si>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</si>
  <si>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</si>
  <si>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</si>
  <si>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</si>
  <si>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</si>
  <si>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</si>
  <si>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</si>
  <si>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</si>
  <si>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</si>
  <si>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</si>
  <si>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</si>
  <si>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</si>
  <si>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</si>
  <si>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</si>
  <si>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</si>
  <si>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</si>
  <si>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</si>
  <si>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</si>
  <si>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</si>
  <si>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</si>
  <si>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</si>
  <si>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</si>
  <si>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</si>
  <si>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</si>
  <si>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</si>
  <si>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</si>
  <si>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</si>
  <si>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</si>
  <si>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</si>
  <si>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</si>
  <si>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</si>
  <si>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</si>
  <si>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</si>
  <si>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</si>
  <si>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</si>
  <si>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</si>
  <si>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</si>
  <si>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</si>
  <si>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</si>
  <si>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</si>
  <si>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</si>
  <si>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</si>
  <si>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</si>
  <si>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</si>
  <si>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</si>
  <si>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</si>
  <si>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</si>
  <si>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</si>
  <si>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</si>
  <si>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</si>
  <si>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</si>
  <si>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</si>
  <si>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</si>
  <si>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</si>
  <si>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</si>
  <si>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</si>
  <si>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</si>
  <si>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</si>
  <si>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</si>
  <si>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</si>
  <si>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</si>
  <si>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</si>
  <si>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</si>
  <si>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</si>
  <si>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</si>
  <si>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</si>
  <si>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</si>
  <si>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</si>
  <si>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</si>
  <si>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</si>
  <si>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</si>
  <si>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</si>
  <si>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</si>
  <si>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</si>
  <si>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</si>
  <si>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</si>
  <si>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</si>
  <si>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</si>
  <si>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</si>
  <si>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</si>
  <si>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</si>
  <si>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</si>
  <si>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</si>
  <si>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</si>
  <si>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</si>
  <si>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</si>
  <si>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</si>
  <si>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</si>
  <si>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</si>
  <si>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</si>
  <si>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</si>
  <si>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</si>
  <si>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</si>
  <si>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</si>
  <si>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</si>
  <si>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</si>
  <si>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</si>
  <si>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</si>
  <si>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</si>
  <si>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</si>
  <si>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</si>
  <si>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</si>
  <si>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</si>
  <si>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</si>
  <si>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</si>
  <si>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</si>
  <si>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</si>
  <si>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</si>
  <si>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</si>
  <si>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</si>
  <si>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</si>
  <si>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</si>
  <si>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</si>
  <si>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</si>
  <si>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</si>
  <si>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</si>
  <si>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</si>
  <si>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</si>
  <si>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</si>
  <si>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</si>
  <si>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</si>
  <si>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</si>
  <si>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</si>
  <si>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</si>
  <si>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</si>
  <si>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</si>
  <si>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</si>
  <si>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</si>
  <si>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</si>
  <si>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</si>
  <si>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</si>
  <si>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</si>
  <si>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</si>
  <si>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</si>
  <si>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</si>
  <si>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</si>
  <si>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</si>
  <si>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</si>
  <si>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</si>
  <si>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</si>
  <si>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</si>
  <si>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</si>
  <si>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</si>
  <si>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</si>
  <si>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</si>
  <si>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</si>
  <si>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</si>
  <si>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</si>
  <si>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</si>
  <si>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</si>
  <si>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</si>
  <si>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</si>
  <si>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</si>
  <si>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</si>
  <si>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</si>
  <si>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</si>
  <si>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</si>
  <si>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</si>
  <si>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</si>
  <si>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</si>
  <si>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</si>
  <si>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</si>
  <si>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</si>
  <si>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</si>
  <si>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</si>
  <si>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</si>
  <si>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</si>
  <si>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</si>
  <si>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</si>
  <si>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</si>
  <si>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</si>
  <si>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</si>
  <si>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</si>
  <si>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</si>
  <si>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</si>
  <si>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</si>
  <si>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</si>
  <si>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</si>
  <si>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</si>
  <si>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</si>
  <si>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</si>
  <si>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</si>
  <si>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</si>
  <si>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</si>
  <si>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</si>
  <si>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</si>
  <si>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</si>
  <si>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</si>
  <si>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</si>
  <si>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</si>
  <si>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</si>
  <si>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</si>
  <si>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</si>
  <si>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</si>
  <si>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</si>
  <si>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</si>
  <si>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</si>
  <si>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</si>
  <si>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</si>
  <si>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</si>
  <si>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</si>
  <si>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</si>
  <si>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</si>
  <si>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</si>
  <si>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</si>
  <si>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</si>
  <si>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</si>
  <si>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</si>
  <si>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</si>
  <si>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</si>
  <si>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</si>
  <si>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</si>
  <si>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</si>
  <si>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</si>
  <si>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</si>
  <si>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</si>
  <si>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</si>
  <si>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</si>
  <si>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</si>
  <si>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</si>
  <si>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</si>
  <si>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</si>
  <si>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</si>
  <si>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</si>
  <si>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</si>
  <si>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</si>
  <si>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</si>
  <si>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</si>
  <si>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</si>
  <si>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</si>
  <si>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</si>
  <si>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</si>
  <si>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</si>
  <si>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</si>
  <si>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</si>
  <si>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</si>
  <si>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</si>
  <si>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</si>
  <si>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</si>
  <si>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</si>
  <si>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</si>
  <si>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</si>
  <si>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</si>
  <si>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</si>
  <si>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</si>
  <si>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</si>
  <si>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</si>
  <si>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</si>
  <si>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</si>
  <si>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</si>
  <si>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</si>
  <si>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</si>
  <si>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</si>
  <si>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</si>
  <si>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</si>
  <si>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</si>
  <si>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</si>
  <si>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</si>
  <si>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</si>
  <si>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</si>
  <si>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</si>
  <si>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</si>
  <si>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</si>
  <si>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</si>
  <si>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</si>
  <si>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</si>
  <si>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</si>
  <si>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</si>
  <si>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</si>
  <si>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</si>
  <si>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</si>
  <si>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</si>
  <si>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</si>
  <si>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</si>
  <si>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</si>
  <si>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</si>
  <si>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</si>
  <si>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</si>
  <si>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</si>
  <si>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</si>
  <si>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</si>
  <si>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</si>
  <si>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</si>
  <si>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</si>
  <si>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</si>
  <si>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</si>
  <si>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</si>
  <si>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</si>
  <si>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</si>
  <si>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</si>
  <si>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</si>
  <si>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</si>
  <si>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</si>
  <si>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</si>
  <si>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</si>
  <si>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</si>
  <si>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</si>
  <si>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</si>
  <si>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</si>
  <si>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</si>
  <si>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</si>
  <si>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</si>
  <si>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</si>
  <si>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</si>
  <si>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</si>
  <si>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</si>
  <si>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</si>
  <si>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</si>
  <si>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</si>
  <si>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</si>
  <si>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</si>
  <si>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</si>
  <si>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</si>
  <si>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</si>
  <si>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</si>
  <si>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</si>
  <si>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</si>
  <si>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</si>
  <si>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</si>
  <si>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</si>
  <si>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</si>
  <si>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</si>
  <si>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</si>
  <si>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</si>
  <si>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</si>
  <si>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</si>
  <si>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</si>
  <si>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</si>
  <si>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</si>
  <si>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Junta Municipal de Agua Potable y Alcantarillado de Cortázar, Gto.
Estado de Actividades
Del 1 de Enero al 30 de Septiembre de 2025
(Cifras en Pesos)</t>
  </si>
  <si>
    <t>Junta Municipal de Agua Potable y Alcantarillado de Cortázar,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</si>
  <si>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</si>
  <si>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</si>
  <si>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</si>
  <si>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</si>
  <si>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</si>
  <si>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</si>
  <si>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</si>
  <si>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</si>
  <si>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Junta Municipal de Agua Potable y Alcantarillado de Cortázar, Gto.
Estado de Variación en la Hacienda Pública
Del 1 de Enero 30 de Septiembre de 2025
(Cifras en Pesos)</t>
  </si>
  <si>
    <t>Junta Municipal de Agua Potable y Alcantarillado de Cortázar, Gto.
Estado de Cambios en la Situación Financiera
Del 1 de Enero al 30 de Septiembre de 2025
(Cifras en Pesos)</t>
  </si>
  <si>
    <t>Junta Municipal de Agua Potable y Alcantarillado de Cortázar, Gto.
Estado de Flujos de Efectivo
Del 1 de Enero al 30 de Septiembre de 2025
(Cifras en Pesos)</t>
  </si>
  <si>
    <t>Junta Municipal de Agua Potable y Alcantarillado de Cortázar, Gto.
Estado Analítico del Activo
Del 1 de Enero al 30 de Septiembre de 2025
(Cifras en Pesos)</t>
  </si>
  <si>
    <t>Junta Municipal de Agua Potable y Alcantarillado de Cortázar, Gto.
Estado Analítico de la Deuda y Otros Pasivos
Del 1 de Enero al 30 de Septiembre de 2025
(Cifras en Pesos)</t>
  </si>
  <si>
    <t>Junta Municipal de Agua Potable y Alcantarillado de Cortázar, Gto.</t>
  </si>
  <si>
    <t>Correspondiente del 1 de Enero al 30 de Septiembre de 2025</t>
  </si>
  <si>
    <t>Junta Municipal de Agua Potable y Alcantarillado de Cortázar, Gto.
Estado Analítico del Ejercicio del Presupuesto de Egresos
Clasificación por Objeto del Gasto (Capítulo y Concepto)
Del 1 de Enero al 30 de Septiembre de 2025
(Cifras en Pesos)</t>
  </si>
  <si>
    <t>Junta Municipal de Agua Potable y Alcantarillado de Cortázar, Gto.
Estado Analítico del Ejercicio del Presupuesto de Egresos
Clasificación Económica (por Tipo de Gasto)
Del 1 de Enero al 30 de Septiembre de 2025
(Cifras en Pesos)</t>
  </si>
  <si>
    <t>31120M09A010100 OPERACION Y MTTO AGUA PO</t>
  </si>
  <si>
    <t>31120M09A010200 OPERACION Y MTTO ALCANTA</t>
  </si>
  <si>
    <t>31120M09A010300 OPERACION Y MTTO MAQUINA</t>
  </si>
  <si>
    <t>31120M09A010400 OPERACION Y MTTO ADMINIS</t>
  </si>
  <si>
    <t>31120M09A020000 DIRECCION GENERAL</t>
  </si>
  <si>
    <t>31120M09A030000 RECURSOS HUMANOS</t>
  </si>
  <si>
    <t>31120M09A040000 CONTABILIDAD</t>
  </si>
  <si>
    <t>31120M09A050000 COMERCIALIZACION</t>
  </si>
  <si>
    <t>31120M09A060000 INFORMATICA</t>
  </si>
  <si>
    <t>31120M09A070000 SANEAMIENTO</t>
  </si>
  <si>
    <t>31120M09A080000 COMUNICACION SOCIAL</t>
  </si>
  <si>
    <t>31120M09A090000 INGENIERIA Y PLANEACION</t>
  </si>
  <si>
    <t>31120M09A100000 SUPERVISION DE OBRA</t>
  </si>
  <si>
    <t>Junta Municipal de Agua Potable y Alcantarillado de Cortázar, Gto.
Estado Analítico del Ejercicio del Presupuesto de Egresos
Clasificación Administrativa
Del 1 de Enero al 30 de Septiembre de 2025
(Cifras en Pesos)</t>
  </si>
  <si>
    <t>Junta Municipal de Agua Potable y Alcantarillado de Cortázar, Gto.
Estado Analítico del Ejercicio del Presupuesto de Egresos
Clasificación Funcional (Finalidad y Función)
Del 1 de Enero al 30 de Septiembre de 2025
(Cifras en Pesos)</t>
  </si>
  <si>
    <t>Junta Municipal de Agua Potable y Alcantarillado de Cortázar, Gto.
Estado Analítico de Ingresos
Del 1 de Enero al 30 de Septiembre de 2025
(Cifras en Pesos)</t>
  </si>
  <si>
    <t>Junta Municipal de Agua Potable y Alcantarillado de Cortázar, Gto.
Gasto por Categoría Programática
Del 1 de Enero al 30 de Septiembre de 2025
(Cifras en Pesos)</t>
  </si>
  <si>
    <t>Junta Municipal de Agua Potable y Alcantarillado de Cortázar, Gto.
INDICADORES DE POSTURA FISCAL
Del 1 de Enero al 30 de Septiembre de 2025
(Cifras en Pesos)</t>
  </si>
  <si>
    <t>Junta Municipal de Agua Potable y Alcantarillado de Cortázar, Gto.
Endeudamiento Neto
Del 1 de Enero al 30 de Septiembre de 2025
(Cifras en Pesos)</t>
  </si>
  <si>
    <t>Junta Municipal de Agua Potable y Alcantarillado de Cortázar, Gto.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</si>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</sst>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E8" sqref="E8"/>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2189204.9</v>
      </c>
      <c r="E32" s="412">
        <v>3013777.09</v>
      </c>
    </row>
    <row r="33" spans="1:5" ht="11.25" customHeight="1" x14ac:dyDescent="0.2">
      <c r="A33" s="62"/>
      <c r="B33" s="26"/>
      <c r="C33" s="26"/>
      <c r="D33" s="414"/>
      <c r="E33" s="414"/>
    </row>
    <row r="34" spans="1:5" ht="11.25" customHeight="1" x14ac:dyDescent="0.2">
      <c r="A34" s="43" t="s">
        <v>269</v>
      </c>
      <c r="B34" s="26"/>
      <c r="C34" s="26"/>
      <c r="D34" s="412">
        <f>D32+D3</f>
        <v>2189204.9</v>
      </c>
      <c r="E34" s="412">
        <f>E32+E3</f>
        <v>3013777.09</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692</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97333830</v>
      </c>
      <c r="C10" s="231">
        <v>0</v>
      </c>
      <c r="D10" s="231">
        <f t="shared" si="0"/>
        <v>97333830</v>
      </c>
      <c r="E10" s="231">
        <v>68170841.530000001</v>
      </c>
      <c r="F10" s="231">
        <v>68154416.579999998</v>
      </c>
      <c r="G10" s="231">
        <f t="shared" si="1"/>
        <v>-29179413.420000002</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2977000</v>
      </c>
      <c r="C12" s="231">
        <v>1039905</v>
      </c>
      <c r="D12" s="231">
        <f t="shared" si="0"/>
        <v>4016905</v>
      </c>
      <c r="E12" s="231">
        <v>1039905</v>
      </c>
      <c r="F12" s="231">
        <v>1039905.08</v>
      </c>
      <c r="G12" s="231">
        <f t="shared" si="1"/>
        <v>-1937094.92</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100310830</v>
      </c>
      <c r="C15" s="234">
        <f>SUM(C4:C13)</f>
        <v>1039905</v>
      </c>
      <c r="D15" s="234">
        <f t="shared" ref="D15:G15" si="2">SUM(D4:D13)</f>
        <v>101350735</v>
      </c>
      <c r="E15" s="234">
        <f t="shared" si="2"/>
        <v>69210746.530000001</v>
      </c>
      <c r="F15" s="235">
        <f t="shared" si="2"/>
        <v>69194321.659999996</v>
      </c>
      <c r="G15" s="236">
        <f t="shared" si="2"/>
        <v>-31116508.340000004</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100310830</v>
      </c>
      <c r="C29" s="251">
        <f t="shared" si="6"/>
        <v>1039905</v>
      </c>
      <c r="D29" s="251">
        <f t="shared" si="6"/>
        <v>101350735</v>
      </c>
      <c r="E29" s="251">
        <f t="shared" si="6"/>
        <v>69210746.530000001</v>
      </c>
      <c r="F29" s="251">
        <f t="shared" si="6"/>
        <v>69194321.659999996</v>
      </c>
      <c r="G29" s="251">
        <f t="shared" si="6"/>
        <v>-31116508.340000004</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97333830</v>
      </c>
      <c r="C32" s="248">
        <v>0</v>
      </c>
      <c r="D32" s="248">
        <f>B32+C32</f>
        <v>97333830</v>
      </c>
      <c r="E32" s="248">
        <v>68170841.530000001</v>
      </c>
      <c r="F32" s="248">
        <v>68154416.579999998</v>
      </c>
      <c r="G32" s="248">
        <f t="shared" si="7"/>
        <v>-29179413.420000002</v>
      </c>
      <c r="H32" s="228" t="s">
        <v>410</v>
      </c>
    </row>
    <row r="33" spans="1:8" ht="21.6" customHeight="1" x14ac:dyDescent="0.25">
      <c r="A33" s="247" t="s">
        <v>113</v>
      </c>
      <c r="B33" s="248">
        <v>2977000</v>
      </c>
      <c r="C33" s="248">
        <v>1039905</v>
      </c>
      <c r="D33" s="248">
        <f>B33+C33</f>
        <v>4016905</v>
      </c>
      <c r="E33" s="248">
        <v>1039905</v>
      </c>
      <c r="F33" s="248">
        <v>1039905.08</v>
      </c>
      <c r="G33" s="248">
        <f t="shared" si="7"/>
        <v>-1937094.92</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100310830</v>
      </c>
      <c r="C38" s="234">
        <f t="shared" ref="C38:G38" si="9">SUM(C35+C29+C19)</f>
        <v>1039905</v>
      </c>
      <c r="D38" s="234">
        <f t="shared" si="9"/>
        <v>101350735</v>
      </c>
      <c r="E38" s="234">
        <f t="shared" si="9"/>
        <v>69210746.530000001</v>
      </c>
      <c r="F38" s="234">
        <f t="shared" si="9"/>
        <v>69194321.659999996</v>
      </c>
      <c r="G38" s="236">
        <f t="shared" si="9"/>
        <v>-31116508.340000004</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6"/>
  <sheetViews>
    <sheetView showGridLines="0" zoomScale="71" workbookViewId="0">
      <selection activeCell="A17" sqref="A17:J17"/>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690</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677</v>
      </c>
      <c r="B5" s="266">
        <v>25365085</v>
      </c>
      <c r="C5" s="266">
        <v>9678451.6999999993</v>
      </c>
      <c r="D5" s="266">
        <f>B5+C5</f>
        <v>35043536.700000003</v>
      </c>
      <c r="E5" s="266">
        <v>30255784.16</v>
      </c>
      <c r="F5" s="266">
        <v>29210734.52</v>
      </c>
      <c r="G5" s="266">
        <f>D5-E5</f>
        <v>4787752.5400000028</v>
      </c>
    </row>
    <row r="6" spans="1:7" x14ac:dyDescent="0.25">
      <c r="A6" s="265" t="s">
        <v>678</v>
      </c>
      <c r="B6" s="266">
        <v>11851216</v>
      </c>
      <c r="C6" s="266">
        <v>319102.14</v>
      </c>
      <c r="D6" s="266">
        <f t="shared" ref="D6:D18" si="0">B6+C6</f>
        <v>12170318.140000001</v>
      </c>
      <c r="E6" s="266">
        <v>10966477.279999999</v>
      </c>
      <c r="F6" s="266">
        <v>10760654.66</v>
      </c>
      <c r="G6" s="266">
        <f t="shared" ref="G6:G18" si="1">D6-E6</f>
        <v>1203840.8600000013</v>
      </c>
    </row>
    <row r="7" spans="1:7" x14ac:dyDescent="0.25">
      <c r="A7" s="265" t="s">
        <v>679</v>
      </c>
      <c r="B7" s="266">
        <v>4699290</v>
      </c>
      <c r="C7" s="266">
        <v>-197902</v>
      </c>
      <c r="D7" s="266">
        <f t="shared" si="0"/>
        <v>4501388</v>
      </c>
      <c r="E7" s="266">
        <v>2851194.84</v>
      </c>
      <c r="F7" s="266">
        <v>2691050.45</v>
      </c>
      <c r="G7" s="266">
        <f t="shared" si="1"/>
        <v>1650193.1600000001</v>
      </c>
    </row>
    <row r="8" spans="1:7" x14ac:dyDescent="0.25">
      <c r="A8" s="265" t="s">
        <v>680</v>
      </c>
      <c r="B8" s="266">
        <v>3571350</v>
      </c>
      <c r="C8" s="266">
        <v>-626350.14</v>
      </c>
      <c r="D8" s="266">
        <f t="shared" si="0"/>
        <v>2944999.86</v>
      </c>
      <c r="E8" s="266">
        <v>1545491.08</v>
      </c>
      <c r="F8" s="266">
        <v>1534703.11</v>
      </c>
      <c r="G8" s="266">
        <f t="shared" si="1"/>
        <v>1399508.7799999998</v>
      </c>
    </row>
    <row r="9" spans="1:7" x14ac:dyDescent="0.25">
      <c r="A9" s="265" t="s">
        <v>681</v>
      </c>
      <c r="B9" s="266">
        <v>4876016</v>
      </c>
      <c r="C9" s="266">
        <v>697073.71</v>
      </c>
      <c r="D9" s="266">
        <f t="shared" si="0"/>
        <v>5573089.71</v>
      </c>
      <c r="E9" s="266">
        <v>3618008.41</v>
      </c>
      <c r="F9" s="266">
        <v>3568696.62</v>
      </c>
      <c r="G9" s="266">
        <f t="shared" si="1"/>
        <v>1955081.2999999998</v>
      </c>
    </row>
    <row r="10" spans="1:7" x14ac:dyDescent="0.25">
      <c r="A10" s="265" t="s">
        <v>682</v>
      </c>
      <c r="B10" s="266">
        <v>5650246</v>
      </c>
      <c r="C10" s="266">
        <v>-1365000</v>
      </c>
      <c r="D10" s="266">
        <f t="shared" si="0"/>
        <v>4285246</v>
      </c>
      <c r="E10" s="266">
        <v>2363833.5699999998</v>
      </c>
      <c r="F10" s="266">
        <v>2338283.69</v>
      </c>
      <c r="G10" s="266">
        <f t="shared" si="1"/>
        <v>1921412.4300000002</v>
      </c>
    </row>
    <row r="11" spans="1:7" x14ac:dyDescent="0.25">
      <c r="A11" s="265" t="s">
        <v>683</v>
      </c>
      <c r="B11" s="266">
        <v>5124776</v>
      </c>
      <c r="C11" s="266">
        <v>1500</v>
      </c>
      <c r="D11" s="266">
        <f t="shared" si="0"/>
        <v>5126276</v>
      </c>
      <c r="E11" s="266">
        <v>3018512.63</v>
      </c>
      <c r="F11" s="266">
        <v>2993723.18</v>
      </c>
      <c r="G11" s="266">
        <f t="shared" si="1"/>
        <v>2107763.37</v>
      </c>
    </row>
    <row r="12" spans="1:7" x14ac:dyDescent="0.25">
      <c r="A12" s="265" t="s">
        <v>684</v>
      </c>
      <c r="B12" s="266">
        <v>7892337</v>
      </c>
      <c r="C12" s="266">
        <v>3009232.06</v>
      </c>
      <c r="D12" s="266">
        <f t="shared" ref="D12" si="2">B12+C12</f>
        <v>10901569.060000001</v>
      </c>
      <c r="E12" s="266">
        <v>8528132.6400000006</v>
      </c>
      <c r="F12" s="266">
        <v>8416812.0199999996</v>
      </c>
      <c r="G12" s="266">
        <f t="shared" ref="G12" si="3">D12-E12</f>
        <v>2373436.42</v>
      </c>
    </row>
    <row r="13" spans="1:7" x14ac:dyDescent="0.25">
      <c r="A13" s="265" t="s">
        <v>685</v>
      </c>
      <c r="B13" s="266">
        <v>2374122</v>
      </c>
      <c r="C13" s="266">
        <v>-593713</v>
      </c>
      <c r="D13" s="266">
        <f t="shared" ref="D13" si="4">B13+C13</f>
        <v>1780409</v>
      </c>
      <c r="E13" s="266">
        <v>1188461.17</v>
      </c>
      <c r="F13" s="266">
        <v>1178319.26</v>
      </c>
      <c r="G13" s="266">
        <f t="shared" ref="G13" si="5">D13-E13</f>
        <v>591947.83000000007</v>
      </c>
    </row>
    <row r="14" spans="1:7" x14ac:dyDescent="0.25">
      <c r="A14" s="265" t="s">
        <v>686</v>
      </c>
      <c r="B14" s="266">
        <v>8988575</v>
      </c>
      <c r="C14" s="266">
        <v>-1292233.8</v>
      </c>
      <c r="D14" s="266">
        <f t="shared" ref="D14" si="6">B14+C14</f>
        <v>7696341.2000000002</v>
      </c>
      <c r="E14" s="266">
        <v>5517025.2400000002</v>
      </c>
      <c r="F14" s="266">
        <v>5469936.1699999999</v>
      </c>
      <c r="G14" s="266">
        <f t="shared" ref="G14" si="7">D14-E14</f>
        <v>2179315.96</v>
      </c>
    </row>
    <row r="15" spans="1:7" x14ac:dyDescent="0.25">
      <c r="A15" s="265" t="s">
        <v>687</v>
      </c>
      <c r="B15" s="266">
        <v>3970428</v>
      </c>
      <c r="C15" s="266">
        <v>1011049.87</v>
      </c>
      <c r="D15" s="266">
        <f t="shared" ref="D15" si="8">B15+C15</f>
        <v>4981477.87</v>
      </c>
      <c r="E15" s="266">
        <v>3982590.19</v>
      </c>
      <c r="F15" s="266">
        <v>3945710.91</v>
      </c>
      <c r="G15" s="266">
        <f t="shared" ref="G15" si="9">D15-E15</f>
        <v>998887.68000000017</v>
      </c>
    </row>
    <row r="16" spans="1:7" x14ac:dyDescent="0.25">
      <c r="A16" s="265" t="s">
        <v>688</v>
      </c>
      <c r="B16" s="266">
        <v>14642988</v>
      </c>
      <c r="C16" s="266">
        <v>-961928.63</v>
      </c>
      <c r="D16" s="266">
        <f t="shared" ref="D16" si="10">B16+C16</f>
        <v>13681059.369999999</v>
      </c>
      <c r="E16" s="266">
        <v>9072497.0500000007</v>
      </c>
      <c r="F16" s="266">
        <v>9035394.5299999993</v>
      </c>
      <c r="G16" s="266">
        <f t="shared" ref="G16" si="11">D16-E16</f>
        <v>4608562.3199999984</v>
      </c>
    </row>
    <row r="17" spans="1:7" x14ac:dyDescent="0.25">
      <c r="A17" s="265" t="s">
        <v>689</v>
      </c>
      <c r="B17" s="266">
        <v>1304401</v>
      </c>
      <c r="C17" s="266">
        <v>68000</v>
      </c>
      <c r="D17" s="266">
        <f t="shared" ref="D17" si="12">B17+C17</f>
        <v>1372401</v>
      </c>
      <c r="E17" s="266">
        <v>579738.89</v>
      </c>
      <c r="F17" s="266">
        <v>574503.05000000005</v>
      </c>
      <c r="G17" s="266">
        <f t="shared" ref="G17" si="13">D17-E17</f>
        <v>792662.11</v>
      </c>
    </row>
    <row r="18" spans="1:7" x14ac:dyDescent="0.25">
      <c r="A18" s="265"/>
      <c r="B18" s="266">
        <v>0</v>
      </c>
      <c r="C18" s="266">
        <v>0</v>
      </c>
      <c r="D18" s="266">
        <f t="shared" si="0"/>
        <v>0</v>
      </c>
      <c r="E18" s="266">
        <v>0</v>
      </c>
      <c r="F18" s="266">
        <v>0</v>
      </c>
      <c r="G18" s="266">
        <f t="shared" si="1"/>
        <v>0</v>
      </c>
    </row>
    <row r="19" spans="1:7" x14ac:dyDescent="0.25">
      <c r="A19" s="267" t="s">
        <v>429</v>
      </c>
      <c r="B19" s="268">
        <f t="shared" ref="B19:C19" si="14">SUM(B5:B18)</f>
        <v>100310830</v>
      </c>
      <c r="C19" s="268">
        <f t="shared" si="14"/>
        <v>9747281.9099999983</v>
      </c>
      <c r="D19" s="268">
        <f>SUM(D5:D18)</f>
        <v>110058111.91000001</v>
      </c>
      <c r="E19" s="268">
        <f t="shared" ref="E19:G19" si="15">SUM(E5:E18)</f>
        <v>83487747.149999991</v>
      </c>
      <c r="F19" s="268">
        <f t="shared" si="15"/>
        <v>81718522.169999987</v>
      </c>
      <c r="G19" s="268">
        <f t="shared" si="15"/>
        <v>26570364.760000005</v>
      </c>
    </row>
    <row r="22" spans="1:7" ht="55.35" customHeight="1" x14ac:dyDescent="0.25">
      <c r="A22" s="492" t="s">
        <v>690</v>
      </c>
      <c r="B22" s="493"/>
      <c r="C22" s="493"/>
      <c r="D22" s="493"/>
      <c r="E22" s="493"/>
      <c r="F22" s="493"/>
      <c r="G22" s="494"/>
    </row>
    <row r="23" spans="1:7" x14ac:dyDescent="0.25">
      <c r="A23" s="256"/>
      <c r="B23" s="257"/>
      <c r="C23" s="258"/>
      <c r="D23" s="259" t="s">
        <v>426</v>
      </c>
      <c r="E23" s="258"/>
      <c r="F23" s="260"/>
      <c r="G23" s="490" t="s">
        <v>427</v>
      </c>
    </row>
    <row r="24" spans="1:7" ht="22.5" x14ac:dyDescent="0.25">
      <c r="A24" s="261" t="s">
        <v>100</v>
      </c>
      <c r="B24" s="262" t="s">
        <v>341</v>
      </c>
      <c r="C24" s="262" t="s">
        <v>428</v>
      </c>
      <c r="D24" s="262" t="s">
        <v>402</v>
      </c>
      <c r="E24" s="262" t="s">
        <v>334</v>
      </c>
      <c r="F24" s="262" t="s">
        <v>347</v>
      </c>
      <c r="G24" s="491"/>
    </row>
    <row r="25" spans="1:7" x14ac:dyDescent="0.25">
      <c r="A25" s="269"/>
      <c r="B25" s="270"/>
      <c r="C25" s="270"/>
      <c r="D25" s="270"/>
      <c r="E25" s="270"/>
      <c r="F25" s="270"/>
      <c r="G25" s="270"/>
    </row>
    <row r="26" spans="1:7" x14ac:dyDescent="0.25">
      <c r="A26" s="271" t="s">
        <v>430</v>
      </c>
      <c r="B26" s="266">
        <v>0</v>
      </c>
      <c r="C26" s="266">
        <v>0</v>
      </c>
      <c r="D26" s="266">
        <f>B26+C26</f>
        <v>0</v>
      </c>
      <c r="E26" s="266">
        <v>0</v>
      </c>
      <c r="F26" s="266">
        <v>0</v>
      </c>
      <c r="G26" s="266">
        <f>D26-E26</f>
        <v>0</v>
      </c>
    </row>
    <row r="27" spans="1:7" x14ac:dyDescent="0.25">
      <c r="A27" s="271" t="s">
        <v>431</v>
      </c>
      <c r="B27" s="266">
        <v>0</v>
      </c>
      <c r="C27" s="266">
        <v>0</v>
      </c>
      <c r="D27" s="266">
        <f t="shared" ref="D27:D29" si="16">B27+C27</f>
        <v>0</v>
      </c>
      <c r="E27" s="266">
        <v>0</v>
      </c>
      <c r="F27" s="266">
        <v>0</v>
      </c>
      <c r="G27" s="266">
        <f t="shared" ref="G27:G29" si="17">D27-E27</f>
        <v>0</v>
      </c>
    </row>
    <row r="28" spans="1:7" x14ac:dyDescent="0.25">
      <c r="A28" s="271" t="s">
        <v>432</v>
      </c>
      <c r="B28" s="266">
        <v>0</v>
      </c>
      <c r="C28" s="266">
        <v>0</v>
      </c>
      <c r="D28" s="266">
        <f t="shared" si="16"/>
        <v>0</v>
      </c>
      <c r="E28" s="266">
        <v>0</v>
      </c>
      <c r="F28" s="266">
        <v>0</v>
      </c>
      <c r="G28" s="266">
        <f t="shared" si="17"/>
        <v>0</v>
      </c>
    </row>
    <row r="29" spans="1:7" x14ac:dyDescent="0.25">
      <c r="A29" s="271" t="s">
        <v>433</v>
      </c>
      <c r="B29" s="266">
        <v>0</v>
      </c>
      <c r="C29" s="266">
        <v>0</v>
      </c>
      <c r="D29" s="266">
        <f t="shared" si="16"/>
        <v>0</v>
      </c>
      <c r="E29" s="266">
        <v>0</v>
      </c>
      <c r="F29" s="266">
        <v>0</v>
      </c>
      <c r="G29" s="266">
        <f t="shared" si="17"/>
        <v>0</v>
      </c>
    </row>
    <row r="30" spans="1:7" x14ac:dyDescent="0.25">
      <c r="A30" s="271"/>
      <c r="B30" s="266"/>
      <c r="C30" s="266"/>
      <c r="D30" s="266"/>
      <c r="E30" s="266"/>
      <c r="F30" s="266"/>
      <c r="G30" s="266"/>
    </row>
    <row r="31" spans="1:7" x14ac:dyDescent="0.25">
      <c r="A31" s="267" t="s">
        <v>429</v>
      </c>
      <c r="B31" s="268">
        <f t="shared" ref="B31:G31" si="18">SUM(B26:B29)</f>
        <v>0</v>
      </c>
      <c r="C31" s="268">
        <f t="shared" si="18"/>
        <v>0</v>
      </c>
      <c r="D31" s="268">
        <f t="shared" si="18"/>
        <v>0</v>
      </c>
      <c r="E31" s="268">
        <f t="shared" si="18"/>
        <v>0</v>
      </c>
      <c r="F31" s="268">
        <f t="shared" si="18"/>
        <v>0</v>
      </c>
      <c r="G31" s="268">
        <f t="shared" si="18"/>
        <v>0</v>
      </c>
    </row>
    <row r="34" spans="1:7" ht="59.45" customHeight="1" x14ac:dyDescent="0.25">
      <c r="A34" s="495" t="s">
        <v>690</v>
      </c>
      <c r="B34" s="496"/>
      <c r="C34" s="496"/>
      <c r="D34" s="496"/>
      <c r="E34" s="496"/>
      <c r="F34" s="496"/>
      <c r="G34" s="497"/>
    </row>
    <row r="35" spans="1:7" x14ac:dyDescent="0.25">
      <c r="A35" s="256"/>
      <c r="B35" s="257"/>
      <c r="C35" s="258"/>
      <c r="D35" s="259" t="s">
        <v>426</v>
      </c>
      <c r="E35" s="258"/>
      <c r="F35" s="260"/>
      <c r="G35" s="490" t="s">
        <v>427</v>
      </c>
    </row>
    <row r="36" spans="1:7" ht="22.5" x14ac:dyDescent="0.25">
      <c r="A36" s="261" t="s">
        <v>100</v>
      </c>
      <c r="B36" s="262" t="s">
        <v>341</v>
      </c>
      <c r="C36" s="262" t="s">
        <v>428</v>
      </c>
      <c r="D36" s="262" t="s">
        <v>402</v>
      </c>
      <c r="E36" s="262" t="s">
        <v>334</v>
      </c>
      <c r="F36" s="262" t="s">
        <v>347</v>
      </c>
      <c r="G36" s="491"/>
    </row>
    <row r="37" spans="1:7" x14ac:dyDescent="0.25">
      <c r="A37" s="269"/>
      <c r="B37" s="270"/>
      <c r="C37" s="270"/>
      <c r="D37" s="270"/>
      <c r="E37" s="270"/>
      <c r="F37" s="270"/>
      <c r="G37" s="270"/>
    </row>
    <row r="38" spans="1:7" ht="30" x14ac:dyDescent="0.25">
      <c r="A38" s="272" t="s">
        <v>434</v>
      </c>
      <c r="B38" s="266">
        <v>0</v>
      </c>
      <c r="C38" s="266">
        <v>0</v>
      </c>
      <c r="D38" s="266">
        <f t="shared" ref="D38:D50" si="19">B38+C38</f>
        <v>0</v>
      </c>
      <c r="E38" s="266">
        <v>0</v>
      </c>
      <c r="F38" s="266">
        <v>0</v>
      </c>
      <c r="G38" s="266">
        <f t="shared" ref="G38:G50" si="20">D38-E38</f>
        <v>0</v>
      </c>
    </row>
    <row r="39" spans="1:7" x14ac:dyDescent="0.25">
      <c r="A39" s="272"/>
      <c r="B39" s="266"/>
      <c r="C39" s="266"/>
      <c r="D39" s="266"/>
      <c r="E39" s="266"/>
      <c r="F39" s="266"/>
      <c r="G39" s="266"/>
    </row>
    <row r="40" spans="1:7" x14ac:dyDescent="0.25">
      <c r="A40" s="272" t="s">
        <v>435</v>
      </c>
      <c r="B40" s="266">
        <v>0</v>
      </c>
      <c r="C40" s="266">
        <v>0</v>
      </c>
      <c r="D40" s="266">
        <f t="shared" si="19"/>
        <v>0</v>
      </c>
      <c r="E40" s="266">
        <v>0</v>
      </c>
      <c r="F40" s="266">
        <v>0</v>
      </c>
      <c r="G40" s="266">
        <f t="shared" si="20"/>
        <v>0</v>
      </c>
    </row>
    <row r="41" spans="1:7" x14ac:dyDescent="0.25">
      <c r="A41" s="272"/>
      <c r="B41" s="266"/>
      <c r="C41" s="266"/>
      <c r="D41" s="266"/>
      <c r="E41" s="266"/>
      <c r="F41" s="266"/>
      <c r="G41" s="266"/>
    </row>
    <row r="42" spans="1:7" ht="30" x14ac:dyDescent="0.25">
      <c r="A42" s="272" t="s">
        <v>436</v>
      </c>
      <c r="B42" s="266">
        <v>0</v>
      </c>
      <c r="C42" s="266">
        <v>0</v>
      </c>
      <c r="D42" s="266">
        <f t="shared" si="19"/>
        <v>0</v>
      </c>
      <c r="E42" s="266">
        <v>0</v>
      </c>
      <c r="F42" s="266">
        <v>0</v>
      </c>
      <c r="G42" s="266">
        <f t="shared" si="20"/>
        <v>0</v>
      </c>
    </row>
    <row r="43" spans="1:7" x14ac:dyDescent="0.25">
      <c r="A43" s="272"/>
      <c r="B43" s="266"/>
      <c r="C43" s="266"/>
      <c r="D43" s="266"/>
      <c r="E43" s="266"/>
      <c r="F43" s="266"/>
      <c r="G43" s="266"/>
    </row>
    <row r="44" spans="1:7" ht="30" x14ac:dyDescent="0.25">
      <c r="A44" s="272" t="s">
        <v>437</v>
      </c>
      <c r="B44" s="266">
        <v>0</v>
      </c>
      <c r="C44" s="266">
        <v>0</v>
      </c>
      <c r="D44" s="266">
        <f t="shared" si="19"/>
        <v>0</v>
      </c>
      <c r="E44" s="266">
        <v>0</v>
      </c>
      <c r="F44" s="266">
        <v>0</v>
      </c>
      <c r="G44" s="266">
        <f t="shared" si="20"/>
        <v>0</v>
      </c>
    </row>
    <row r="45" spans="1:7" x14ac:dyDescent="0.25">
      <c r="A45" s="272"/>
      <c r="B45" s="266"/>
      <c r="C45" s="266"/>
      <c r="D45" s="266"/>
      <c r="E45" s="266"/>
      <c r="F45" s="266"/>
      <c r="G45" s="266"/>
    </row>
    <row r="46" spans="1:7" ht="30" x14ac:dyDescent="0.25">
      <c r="A46" s="272" t="s">
        <v>438</v>
      </c>
      <c r="B46" s="266">
        <v>0</v>
      </c>
      <c r="C46" s="266">
        <v>0</v>
      </c>
      <c r="D46" s="266">
        <f t="shared" si="19"/>
        <v>0</v>
      </c>
      <c r="E46" s="266">
        <v>0</v>
      </c>
      <c r="F46" s="266">
        <v>0</v>
      </c>
      <c r="G46" s="266">
        <f t="shared" si="20"/>
        <v>0</v>
      </c>
    </row>
    <row r="47" spans="1:7" x14ac:dyDescent="0.25">
      <c r="A47" s="272"/>
      <c r="B47" s="266"/>
      <c r="C47" s="266"/>
      <c r="D47" s="266"/>
      <c r="E47" s="266"/>
      <c r="F47" s="266"/>
      <c r="G47" s="266"/>
    </row>
    <row r="48" spans="1:7" ht="30" x14ac:dyDescent="0.25">
      <c r="A48" s="272" t="s">
        <v>439</v>
      </c>
      <c r="B48" s="266">
        <v>0</v>
      </c>
      <c r="C48" s="266">
        <v>0</v>
      </c>
      <c r="D48" s="266">
        <f t="shared" ref="D48" si="21">B48+C48</f>
        <v>0</v>
      </c>
      <c r="E48" s="266">
        <v>0</v>
      </c>
      <c r="F48" s="266">
        <v>0</v>
      </c>
      <c r="G48" s="266">
        <f t="shared" ref="G48" si="22">D48-E48</f>
        <v>0</v>
      </c>
    </row>
    <row r="49" spans="1:7" x14ac:dyDescent="0.25">
      <c r="A49" s="272"/>
      <c r="B49" s="266"/>
      <c r="C49" s="266"/>
      <c r="D49" s="266"/>
      <c r="E49" s="266"/>
      <c r="F49" s="266"/>
      <c r="G49" s="266"/>
    </row>
    <row r="50" spans="1:7" ht="30" x14ac:dyDescent="0.25">
      <c r="A50" s="272" t="s">
        <v>440</v>
      </c>
      <c r="B50" s="266">
        <v>0</v>
      </c>
      <c r="C50" s="266">
        <v>0</v>
      </c>
      <c r="D50" s="266">
        <f t="shared" si="19"/>
        <v>0</v>
      </c>
      <c r="E50" s="266">
        <v>0</v>
      </c>
      <c r="F50" s="266">
        <v>0</v>
      </c>
      <c r="G50" s="266">
        <f t="shared" si="20"/>
        <v>0</v>
      </c>
    </row>
    <row r="51" spans="1:7" x14ac:dyDescent="0.25">
      <c r="A51" s="272"/>
      <c r="B51" s="266"/>
      <c r="C51" s="266"/>
      <c r="D51" s="266"/>
      <c r="E51" s="266"/>
      <c r="F51" s="266"/>
      <c r="G51" s="266"/>
    </row>
    <row r="52" spans="1:7" x14ac:dyDescent="0.25">
      <c r="A52" s="272" t="s">
        <v>441</v>
      </c>
      <c r="B52" s="266">
        <v>100310830</v>
      </c>
      <c r="C52" s="266">
        <v>9747281.9100000001</v>
      </c>
      <c r="D52" s="266">
        <f t="shared" ref="D52" si="23">B52+C52</f>
        <v>110058111.91</v>
      </c>
      <c r="E52" s="266">
        <v>83487747.150000006</v>
      </c>
      <c r="F52" s="266">
        <v>81718522.170000002</v>
      </c>
      <c r="G52" s="266">
        <f t="shared" ref="G52" si="24">D52-E52</f>
        <v>26570364.75999999</v>
      </c>
    </row>
    <row r="53" spans="1:7" x14ac:dyDescent="0.25">
      <c r="A53" s="272"/>
      <c r="B53" s="266"/>
      <c r="C53" s="266"/>
      <c r="D53" s="266"/>
      <c r="E53" s="266"/>
      <c r="F53" s="266"/>
      <c r="G53" s="266"/>
    </row>
    <row r="54" spans="1:7" x14ac:dyDescent="0.25">
      <c r="A54" s="267" t="s">
        <v>429</v>
      </c>
      <c r="B54" s="268">
        <f t="shared" ref="B54:G54" si="25">SUM(B38:B52)</f>
        <v>100310830</v>
      </c>
      <c r="C54" s="268">
        <f t="shared" si="25"/>
        <v>9747281.9100000001</v>
      </c>
      <c r="D54" s="268">
        <f t="shared" si="25"/>
        <v>110058111.91</v>
      </c>
      <c r="E54" s="268">
        <f t="shared" si="25"/>
        <v>83487747.150000006</v>
      </c>
      <c r="F54" s="268">
        <f t="shared" si="25"/>
        <v>81718522.170000002</v>
      </c>
      <c r="G54" s="268">
        <f t="shared" si="25"/>
        <v>26570364.75999999</v>
      </c>
    </row>
    <row r="56" spans="1:7" x14ac:dyDescent="0.25">
      <c r="A56" s="255" t="s">
        <v>442</v>
      </c>
    </row>
  </sheetData>
  <sheetProtection formatCells="0" formatColumns="0" formatRows="0" insertRows="0" deleteRows="0" autoFilter="0"/>
  <mergeCells count="6">
    <mergeCell ref="G35:G36"/>
    <mergeCell ref="A1:G1"/>
    <mergeCell ref="G2:G3"/>
    <mergeCell ref="A22:G22"/>
    <mergeCell ref="G23:G24"/>
    <mergeCell ref="A34:G34"/>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676</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89168830</v>
      </c>
      <c r="C5" s="266">
        <v>9502025.1199999992</v>
      </c>
      <c r="D5" s="266">
        <f>B5+C5</f>
        <v>98670855.120000005</v>
      </c>
      <c r="E5" s="266">
        <v>75231178.349999994</v>
      </c>
      <c r="F5" s="266">
        <v>73461953.370000005</v>
      </c>
      <c r="G5" s="266">
        <f>D5-E5</f>
        <v>23439676.770000011</v>
      </c>
    </row>
    <row r="6" spans="1:7" x14ac:dyDescent="0.25">
      <c r="A6" s="273"/>
      <c r="B6" s="266"/>
      <c r="C6" s="266"/>
      <c r="D6" s="266"/>
      <c r="E6" s="266"/>
      <c r="F6" s="266"/>
      <c r="G6" s="266"/>
    </row>
    <row r="7" spans="1:7" ht="9.9499999999999993" customHeight="1" x14ac:dyDescent="0.25">
      <c r="A7" s="273" t="s">
        <v>444</v>
      </c>
      <c r="B7" s="266">
        <v>11142000</v>
      </c>
      <c r="C7" s="266">
        <v>245256.79</v>
      </c>
      <c r="D7" s="266">
        <f>B7+C7</f>
        <v>11387256.789999999</v>
      </c>
      <c r="E7" s="266">
        <v>8256568.7999999998</v>
      </c>
      <c r="F7" s="266">
        <v>8256568.7999999998</v>
      </c>
      <c r="G7" s="266">
        <f>D7-E7</f>
        <v>3130687.9899999993</v>
      </c>
    </row>
    <row r="8" spans="1:7" x14ac:dyDescent="0.25">
      <c r="A8" s="273"/>
      <c r="B8" s="266"/>
      <c r="C8" s="266"/>
      <c r="D8" s="266"/>
      <c r="E8" s="266"/>
      <c r="F8" s="266"/>
      <c r="G8" s="266"/>
    </row>
    <row r="9" spans="1:7" ht="24.95" customHeight="1" x14ac:dyDescent="0.25">
      <c r="A9" s="273" t="s">
        <v>445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100310830</v>
      </c>
      <c r="C15" s="278">
        <f t="shared" si="0"/>
        <v>9747281.9099999983</v>
      </c>
      <c r="D15" s="278">
        <f t="shared" si="0"/>
        <v>110058111.91</v>
      </c>
      <c r="E15" s="278">
        <f t="shared" si="0"/>
        <v>83487747.149999991</v>
      </c>
      <c r="F15" s="278">
        <f t="shared" si="0"/>
        <v>81718522.170000002</v>
      </c>
      <c r="G15" s="278">
        <f t="shared" si="0"/>
        <v>26570364.760000009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675</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47889800</v>
      </c>
      <c r="C4" s="280">
        <f>SUM(C5:C11)</f>
        <v>0</v>
      </c>
      <c r="D4" s="280">
        <f>B4+C4</f>
        <v>47889800</v>
      </c>
      <c r="E4" s="280">
        <f>SUM(E5:E11)</f>
        <v>31118333.840000004</v>
      </c>
      <c r="F4" s="280">
        <f>SUM(F5:F11)</f>
        <v>30915833.830000006</v>
      </c>
      <c r="G4" s="280">
        <f>D4-E4</f>
        <v>16771466.159999996</v>
      </c>
    </row>
    <row r="5" spans="1:8" x14ac:dyDescent="0.25">
      <c r="A5" s="281" t="s">
        <v>446</v>
      </c>
      <c r="B5" s="266">
        <v>23954655</v>
      </c>
      <c r="C5" s="266">
        <v>-882417.48</v>
      </c>
      <c r="D5" s="266">
        <f t="shared" ref="D5:D68" si="0">B5+C5</f>
        <v>23072237.52</v>
      </c>
      <c r="E5" s="266">
        <v>16071628.82</v>
      </c>
      <c r="F5" s="266">
        <v>16071628.82</v>
      </c>
      <c r="G5" s="266">
        <f t="shared" ref="G5:G68" si="1">D5-E5</f>
        <v>7000608.6999999993</v>
      </c>
      <c r="H5" s="282">
        <v>1100</v>
      </c>
    </row>
    <row r="6" spans="1:8" x14ac:dyDescent="0.25">
      <c r="A6" s="281" t="s">
        <v>447</v>
      </c>
      <c r="B6" s="266">
        <v>3999669</v>
      </c>
      <c r="C6" s="266">
        <v>413902</v>
      </c>
      <c r="D6" s="266">
        <f t="shared" si="0"/>
        <v>4413571</v>
      </c>
      <c r="E6" s="266">
        <v>4200685.53</v>
      </c>
      <c r="F6" s="266">
        <v>4200685.53</v>
      </c>
      <c r="G6" s="266">
        <f t="shared" si="1"/>
        <v>212885.46999999974</v>
      </c>
      <c r="H6" s="282">
        <v>1200</v>
      </c>
    </row>
    <row r="7" spans="1:8" x14ac:dyDescent="0.25">
      <c r="A7" s="281" t="s">
        <v>448</v>
      </c>
      <c r="B7" s="266">
        <v>4901934</v>
      </c>
      <c r="C7" s="266">
        <v>836357.55</v>
      </c>
      <c r="D7" s="266">
        <f t="shared" si="0"/>
        <v>5738291.5499999998</v>
      </c>
      <c r="E7" s="266">
        <v>1381894.94</v>
      </c>
      <c r="F7" s="266">
        <v>1381894.94</v>
      </c>
      <c r="G7" s="266">
        <f t="shared" si="1"/>
        <v>4356396.6099999994</v>
      </c>
      <c r="H7" s="282">
        <v>1300</v>
      </c>
    </row>
    <row r="8" spans="1:8" x14ac:dyDescent="0.25">
      <c r="A8" s="281" t="s">
        <v>449</v>
      </c>
      <c r="B8" s="266">
        <v>6256531</v>
      </c>
      <c r="C8" s="266">
        <v>443278.11</v>
      </c>
      <c r="D8" s="266">
        <f t="shared" si="0"/>
        <v>6699809.1100000003</v>
      </c>
      <c r="E8" s="266">
        <v>4381176.95</v>
      </c>
      <c r="F8" s="266">
        <v>4178676.94</v>
      </c>
      <c r="G8" s="266">
        <f t="shared" si="1"/>
        <v>2318632.16</v>
      </c>
      <c r="H8" s="282">
        <v>1400</v>
      </c>
    </row>
    <row r="9" spans="1:8" x14ac:dyDescent="0.25">
      <c r="A9" s="281" t="s">
        <v>450</v>
      </c>
      <c r="B9" s="266">
        <v>7597011</v>
      </c>
      <c r="C9" s="266">
        <v>368879.82</v>
      </c>
      <c r="D9" s="266">
        <f t="shared" si="0"/>
        <v>7965890.8200000003</v>
      </c>
      <c r="E9" s="266">
        <v>5082947.5999999996</v>
      </c>
      <c r="F9" s="266">
        <v>5082947.5999999996</v>
      </c>
      <c r="G9" s="266">
        <f t="shared" si="1"/>
        <v>2882943.2200000007</v>
      </c>
      <c r="H9" s="282">
        <v>1500</v>
      </c>
    </row>
    <row r="10" spans="1:8" x14ac:dyDescent="0.25">
      <c r="A10" s="281" t="s">
        <v>451</v>
      </c>
      <c r="B10" s="266">
        <v>1180000</v>
      </c>
      <c r="C10" s="266">
        <v>-1180000</v>
      </c>
      <c r="D10" s="266">
        <f t="shared" si="0"/>
        <v>0</v>
      </c>
      <c r="E10" s="266">
        <v>0</v>
      </c>
      <c r="F10" s="266">
        <v>0</v>
      </c>
      <c r="G10" s="266">
        <f t="shared" si="1"/>
        <v>0</v>
      </c>
      <c r="H10" s="282">
        <v>1600</v>
      </c>
    </row>
    <row r="11" spans="1:8" x14ac:dyDescent="0.25">
      <c r="A11" s="281" t="s">
        <v>452</v>
      </c>
      <c r="B11" s="266">
        <v>0</v>
      </c>
      <c r="C11" s="266">
        <v>0</v>
      </c>
      <c r="D11" s="266">
        <f t="shared" si="0"/>
        <v>0</v>
      </c>
      <c r="E11" s="266">
        <v>0</v>
      </c>
      <c r="F11" s="266">
        <v>0</v>
      </c>
      <c r="G11" s="266">
        <f t="shared" si="1"/>
        <v>0</v>
      </c>
      <c r="H11" s="282">
        <v>1700</v>
      </c>
    </row>
    <row r="12" spans="1:8" x14ac:dyDescent="0.25">
      <c r="A12" s="279" t="s">
        <v>124</v>
      </c>
      <c r="B12" s="283">
        <f>SUM(B13:B21)</f>
        <v>13244658</v>
      </c>
      <c r="C12" s="283">
        <f>SUM(C13:C21)</f>
        <v>4686701.58</v>
      </c>
      <c r="D12" s="283">
        <f t="shared" si="0"/>
        <v>17931359.579999998</v>
      </c>
      <c r="E12" s="283">
        <f>SUM(E13:E21)</f>
        <v>16280435.190000001</v>
      </c>
      <c r="F12" s="283">
        <f>SUM(F13:F21)</f>
        <v>15195555.42</v>
      </c>
      <c r="G12" s="283">
        <f t="shared" si="1"/>
        <v>1650924.3899999969</v>
      </c>
      <c r="H12" s="284">
        <v>0</v>
      </c>
    </row>
    <row r="13" spans="1:8" x14ac:dyDescent="0.25">
      <c r="A13" s="281" t="s">
        <v>453</v>
      </c>
      <c r="B13" s="266">
        <v>1945211</v>
      </c>
      <c r="C13" s="266">
        <v>-574771.41</v>
      </c>
      <c r="D13" s="266">
        <f t="shared" si="0"/>
        <v>1370439.5899999999</v>
      </c>
      <c r="E13" s="266">
        <v>813234.25</v>
      </c>
      <c r="F13" s="266">
        <v>812179.07</v>
      </c>
      <c r="G13" s="266">
        <f t="shared" si="1"/>
        <v>557205.33999999985</v>
      </c>
      <c r="H13" s="282">
        <v>2100</v>
      </c>
    </row>
    <row r="14" spans="1:8" x14ac:dyDescent="0.25">
      <c r="A14" s="281" t="s">
        <v>454</v>
      </c>
      <c r="B14" s="266">
        <v>215930</v>
      </c>
      <c r="C14" s="266">
        <v>166100</v>
      </c>
      <c r="D14" s="266">
        <f t="shared" si="0"/>
        <v>382030</v>
      </c>
      <c r="E14" s="266">
        <v>285859.21000000002</v>
      </c>
      <c r="F14" s="266">
        <v>284559.21000000002</v>
      </c>
      <c r="G14" s="266">
        <f t="shared" si="1"/>
        <v>96170.789999999979</v>
      </c>
      <c r="H14" s="282">
        <v>2200</v>
      </c>
    </row>
    <row r="15" spans="1:8" x14ac:dyDescent="0.25">
      <c r="A15" s="281" t="s">
        <v>455</v>
      </c>
      <c r="B15" s="266">
        <v>0</v>
      </c>
      <c r="C15" s="266">
        <v>0</v>
      </c>
      <c r="D15" s="266">
        <f t="shared" si="0"/>
        <v>0</v>
      </c>
      <c r="E15" s="266">
        <v>0</v>
      </c>
      <c r="F15" s="266">
        <v>0</v>
      </c>
      <c r="G15" s="266">
        <f t="shared" si="1"/>
        <v>0</v>
      </c>
      <c r="H15" s="282">
        <v>2300</v>
      </c>
    </row>
    <row r="16" spans="1:8" x14ac:dyDescent="0.25">
      <c r="A16" s="281" t="s">
        <v>456</v>
      </c>
      <c r="B16" s="266">
        <v>6930588</v>
      </c>
      <c r="C16" s="266">
        <v>3721551.99</v>
      </c>
      <c r="D16" s="266">
        <f t="shared" si="0"/>
        <v>10652139.99</v>
      </c>
      <c r="E16" s="266">
        <v>10726210.98</v>
      </c>
      <c r="F16" s="266">
        <v>10040996.48</v>
      </c>
      <c r="G16" s="266">
        <f t="shared" si="1"/>
        <v>-74070.990000000224</v>
      </c>
      <c r="H16" s="282">
        <v>2400</v>
      </c>
    </row>
    <row r="17" spans="1:8" x14ac:dyDescent="0.25">
      <c r="A17" s="281" t="s">
        <v>457</v>
      </c>
      <c r="B17" s="266">
        <v>1014168</v>
      </c>
      <c r="C17" s="266">
        <v>-174528</v>
      </c>
      <c r="D17" s="266">
        <f t="shared" si="0"/>
        <v>839640</v>
      </c>
      <c r="E17" s="266">
        <v>554368.29</v>
      </c>
      <c r="F17" s="266">
        <v>554368.29</v>
      </c>
      <c r="G17" s="266">
        <f t="shared" si="1"/>
        <v>285271.70999999996</v>
      </c>
      <c r="H17" s="282">
        <v>2500</v>
      </c>
    </row>
    <row r="18" spans="1:8" x14ac:dyDescent="0.25">
      <c r="A18" s="281" t="s">
        <v>458</v>
      </c>
      <c r="B18" s="266">
        <v>2053100</v>
      </c>
      <c r="C18" s="266">
        <v>1608000</v>
      </c>
      <c r="D18" s="266">
        <f t="shared" si="0"/>
        <v>3661100</v>
      </c>
      <c r="E18" s="266">
        <v>3352008.02</v>
      </c>
      <c r="F18" s="266">
        <v>2957935</v>
      </c>
      <c r="G18" s="266">
        <f t="shared" si="1"/>
        <v>309091.98</v>
      </c>
      <c r="H18" s="282">
        <v>2600</v>
      </c>
    </row>
    <row r="19" spans="1:8" x14ac:dyDescent="0.25">
      <c r="A19" s="281" t="s">
        <v>459</v>
      </c>
      <c r="B19" s="266">
        <v>777083</v>
      </c>
      <c r="C19" s="266">
        <v>-47129</v>
      </c>
      <c r="D19" s="266">
        <f t="shared" si="0"/>
        <v>729954</v>
      </c>
      <c r="E19" s="266">
        <v>386131.06</v>
      </c>
      <c r="F19" s="266">
        <v>385704.34</v>
      </c>
      <c r="G19" s="266">
        <f t="shared" si="1"/>
        <v>343822.94</v>
      </c>
      <c r="H19" s="282">
        <v>2700</v>
      </c>
    </row>
    <row r="20" spans="1:8" x14ac:dyDescent="0.25">
      <c r="A20" s="281" t="s">
        <v>460</v>
      </c>
      <c r="B20" s="266">
        <v>0</v>
      </c>
      <c r="C20" s="266">
        <v>0</v>
      </c>
      <c r="D20" s="266">
        <f t="shared" si="0"/>
        <v>0</v>
      </c>
      <c r="E20" s="266">
        <v>0</v>
      </c>
      <c r="F20" s="266">
        <v>0</v>
      </c>
      <c r="G20" s="266">
        <f t="shared" si="1"/>
        <v>0</v>
      </c>
      <c r="H20" s="282">
        <v>2800</v>
      </c>
    </row>
    <row r="21" spans="1:8" x14ac:dyDescent="0.25">
      <c r="A21" s="281" t="s">
        <v>461</v>
      </c>
      <c r="B21" s="266">
        <v>308578</v>
      </c>
      <c r="C21" s="266">
        <v>-12522</v>
      </c>
      <c r="D21" s="266">
        <f t="shared" si="0"/>
        <v>296056</v>
      </c>
      <c r="E21" s="266">
        <v>162623.38</v>
      </c>
      <c r="F21" s="266">
        <v>159813.03</v>
      </c>
      <c r="G21" s="266">
        <f t="shared" si="1"/>
        <v>133432.62</v>
      </c>
      <c r="H21" s="282">
        <v>2900</v>
      </c>
    </row>
    <row r="22" spans="1:8" x14ac:dyDescent="0.25">
      <c r="A22" s="279" t="s">
        <v>125</v>
      </c>
      <c r="B22" s="283">
        <f>SUM(B23:B31)</f>
        <v>27984572</v>
      </c>
      <c r="C22" s="283">
        <f>SUM(C23:C31)</f>
        <v>4815323.54</v>
      </c>
      <c r="D22" s="283">
        <f t="shared" si="0"/>
        <v>32799895.539999999</v>
      </c>
      <c r="E22" s="283">
        <f>SUM(E23:E31)</f>
        <v>27832409.32</v>
      </c>
      <c r="F22" s="283">
        <f>SUM(F23:F31)</f>
        <v>27350564.120000001</v>
      </c>
      <c r="G22" s="283">
        <f t="shared" si="1"/>
        <v>4967486.2199999988</v>
      </c>
      <c r="H22" s="284">
        <v>0</v>
      </c>
    </row>
    <row r="23" spans="1:8" x14ac:dyDescent="0.25">
      <c r="A23" s="281" t="s">
        <v>462</v>
      </c>
      <c r="B23" s="266">
        <v>11726460</v>
      </c>
      <c r="C23" s="266">
        <v>-2048007</v>
      </c>
      <c r="D23" s="266">
        <f t="shared" si="0"/>
        <v>9678453</v>
      </c>
      <c r="E23" s="266">
        <v>8027668.5899999999</v>
      </c>
      <c r="F23" s="266">
        <v>7786674.8600000003</v>
      </c>
      <c r="G23" s="266">
        <f t="shared" si="1"/>
        <v>1650784.4100000001</v>
      </c>
      <c r="H23" s="282">
        <v>3100</v>
      </c>
    </row>
    <row r="24" spans="1:8" x14ac:dyDescent="0.25">
      <c r="A24" s="281" t="s">
        <v>463</v>
      </c>
      <c r="B24" s="266">
        <v>352160</v>
      </c>
      <c r="C24" s="266">
        <v>97450</v>
      </c>
      <c r="D24" s="266">
        <f t="shared" si="0"/>
        <v>449610</v>
      </c>
      <c r="E24" s="266">
        <v>318300</v>
      </c>
      <c r="F24" s="266">
        <v>318300</v>
      </c>
      <c r="G24" s="266">
        <f t="shared" si="1"/>
        <v>131310</v>
      </c>
      <c r="H24" s="282">
        <v>3200</v>
      </c>
    </row>
    <row r="25" spans="1:8" x14ac:dyDescent="0.25">
      <c r="A25" s="281" t="s">
        <v>464</v>
      </c>
      <c r="B25" s="266">
        <v>4052100</v>
      </c>
      <c r="C25" s="266">
        <v>3983804.04</v>
      </c>
      <c r="D25" s="266">
        <f t="shared" si="0"/>
        <v>8035904.04</v>
      </c>
      <c r="E25" s="266">
        <v>6474115.9299999997</v>
      </c>
      <c r="F25" s="266">
        <v>6445639.2999999998</v>
      </c>
      <c r="G25" s="266">
        <f t="shared" si="1"/>
        <v>1561788.1100000003</v>
      </c>
      <c r="H25" s="282">
        <v>3300</v>
      </c>
    </row>
    <row r="26" spans="1:8" x14ac:dyDescent="0.25">
      <c r="A26" s="281" t="s">
        <v>465</v>
      </c>
      <c r="B26" s="266">
        <v>1339674</v>
      </c>
      <c r="C26" s="266">
        <v>-3454.94</v>
      </c>
      <c r="D26" s="266">
        <f t="shared" si="0"/>
        <v>1336219.06</v>
      </c>
      <c r="E26" s="266">
        <v>862621.32</v>
      </c>
      <c r="F26" s="266">
        <v>862621.32</v>
      </c>
      <c r="G26" s="266">
        <f t="shared" si="1"/>
        <v>473597.74000000011</v>
      </c>
      <c r="H26" s="282">
        <v>3400</v>
      </c>
    </row>
    <row r="27" spans="1:8" x14ac:dyDescent="0.25">
      <c r="A27" s="281" t="s">
        <v>466</v>
      </c>
      <c r="B27" s="266">
        <v>5909465</v>
      </c>
      <c r="C27" s="266">
        <v>3077180.94</v>
      </c>
      <c r="D27" s="266">
        <f t="shared" si="0"/>
        <v>8986645.9399999995</v>
      </c>
      <c r="E27" s="266">
        <v>8689067.8900000006</v>
      </c>
      <c r="F27" s="266">
        <v>8546648.0500000007</v>
      </c>
      <c r="G27" s="266">
        <f t="shared" si="1"/>
        <v>297578.04999999888</v>
      </c>
      <c r="H27" s="282">
        <v>3500</v>
      </c>
    </row>
    <row r="28" spans="1:8" x14ac:dyDescent="0.25">
      <c r="A28" s="281" t="s">
        <v>467</v>
      </c>
      <c r="B28" s="266">
        <v>600000</v>
      </c>
      <c r="C28" s="266">
        <v>104494.5</v>
      </c>
      <c r="D28" s="266">
        <f t="shared" si="0"/>
        <v>704494.5</v>
      </c>
      <c r="E28" s="266">
        <v>678921.13</v>
      </c>
      <c r="F28" s="266">
        <v>678921.13</v>
      </c>
      <c r="G28" s="266">
        <f t="shared" si="1"/>
        <v>25573.369999999995</v>
      </c>
      <c r="H28" s="282">
        <v>3600</v>
      </c>
    </row>
    <row r="29" spans="1:8" x14ac:dyDescent="0.25">
      <c r="A29" s="281" t="s">
        <v>468</v>
      </c>
      <c r="B29" s="266">
        <v>71500</v>
      </c>
      <c r="C29" s="266">
        <v>-9500</v>
      </c>
      <c r="D29" s="266">
        <f t="shared" si="0"/>
        <v>62000</v>
      </c>
      <c r="E29" s="266">
        <v>8346.18</v>
      </c>
      <c r="F29" s="266">
        <v>8346.18</v>
      </c>
      <c r="G29" s="266">
        <f t="shared" si="1"/>
        <v>53653.82</v>
      </c>
      <c r="H29" s="282">
        <v>3700</v>
      </c>
    </row>
    <row r="30" spans="1:8" x14ac:dyDescent="0.25">
      <c r="A30" s="281" t="s">
        <v>469</v>
      </c>
      <c r="B30" s="266">
        <v>405000</v>
      </c>
      <c r="C30" s="266">
        <v>350034</v>
      </c>
      <c r="D30" s="266">
        <f t="shared" si="0"/>
        <v>755034</v>
      </c>
      <c r="E30" s="266">
        <v>751562.28</v>
      </c>
      <c r="F30" s="266">
        <v>751562.28</v>
      </c>
      <c r="G30" s="266">
        <f t="shared" si="1"/>
        <v>3471.7199999999721</v>
      </c>
      <c r="H30" s="282">
        <v>3800</v>
      </c>
    </row>
    <row r="31" spans="1:8" x14ac:dyDescent="0.25">
      <c r="A31" s="281" t="s">
        <v>470</v>
      </c>
      <c r="B31" s="266">
        <v>3528213</v>
      </c>
      <c r="C31" s="266">
        <v>-736678</v>
      </c>
      <c r="D31" s="266">
        <f t="shared" si="0"/>
        <v>2791535</v>
      </c>
      <c r="E31" s="266">
        <v>2021806</v>
      </c>
      <c r="F31" s="266">
        <v>1951851</v>
      </c>
      <c r="G31" s="266">
        <f t="shared" si="1"/>
        <v>769729</v>
      </c>
      <c r="H31" s="282">
        <v>3900</v>
      </c>
    </row>
    <row r="32" spans="1:8" x14ac:dyDescent="0.25">
      <c r="A32" s="279" t="s">
        <v>126</v>
      </c>
      <c r="B32" s="283">
        <f>SUM(B33:B41)</f>
        <v>49800</v>
      </c>
      <c r="C32" s="283">
        <f>SUM(C33:C41)</f>
        <v>0</v>
      </c>
      <c r="D32" s="283">
        <f t="shared" si="0"/>
        <v>49800</v>
      </c>
      <c r="E32" s="283">
        <f>SUM(E33:E41)</f>
        <v>0</v>
      </c>
      <c r="F32" s="283">
        <f>SUM(F33:F41)</f>
        <v>0</v>
      </c>
      <c r="G32" s="283">
        <f t="shared" si="1"/>
        <v>49800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49800</v>
      </c>
      <c r="C36" s="266">
        <v>0</v>
      </c>
      <c r="D36" s="266">
        <f t="shared" si="0"/>
        <v>49800</v>
      </c>
      <c r="E36" s="266">
        <v>0</v>
      </c>
      <c r="F36" s="266">
        <v>0</v>
      </c>
      <c r="G36" s="266">
        <f t="shared" si="1"/>
        <v>49800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342000</v>
      </c>
      <c r="C42" s="283">
        <f>SUM(C43:C51)</f>
        <v>1190885.42</v>
      </c>
      <c r="D42" s="283">
        <f t="shared" si="0"/>
        <v>1532885.42</v>
      </c>
      <c r="E42" s="283">
        <f>SUM(E43:E51)</f>
        <v>1442385.42</v>
      </c>
      <c r="F42" s="283">
        <f>SUM(F43:F51)</f>
        <v>1442385.42</v>
      </c>
      <c r="G42" s="283">
        <f t="shared" si="1"/>
        <v>90500</v>
      </c>
      <c r="H42" s="284">
        <v>0</v>
      </c>
    </row>
    <row r="43" spans="1:8" x14ac:dyDescent="0.25">
      <c r="A43" s="285" t="s">
        <v>473</v>
      </c>
      <c r="B43" s="266">
        <v>0</v>
      </c>
      <c r="C43" s="266">
        <v>31920</v>
      </c>
      <c r="D43" s="266">
        <f t="shared" si="0"/>
        <v>31920</v>
      </c>
      <c r="E43" s="266">
        <v>31920</v>
      </c>
      <c r="F43" s="266">
        <v>31920</v>
      </c>
      <c r="G43" s="266">
        <f t="shared" si="1"/>
        <v>0</v>
      </c>
      <c r="H43" s="282">
        <v>5100</v>
      </c>
    </row>
    <row r="44" spans="1:8" x14ac:dyDescent="0.25">
      <c r="A44" s="281" t="s">
        <v>474</v>
      </c>
      <c r="B44" s="266">
        <v>0</v>
      </c>
      <c r="C44" s="266">
        <v>57500</v>
      </c>
      <c r="D44" s="266">
        <f t="shared" si="0"/>
        <v>57500</v>
      </c>
      <c r="E44" s="266">
        <v>57500</v>
      </c>
      <c r="F44" s="266">
        <v>57500</v>
      </c>
      <c r="G44" s="266">
        <f t="shared" si="1"/>
        <v>0</v>
      </c>
      <c r="H44" s="282">
        <v>5200</v>
      </c>
    </row>
    <row r="45" spans="1:8" x14ac:dyDescent="0.25">
      <c r="A45" s="281" t="s">
        <v>475</v>
      </c>
      <c r="B45" s="266">
        <v>0</v>
      </c>
      <c r="C45" s="266">
        <v>0</v>
      </c>
      <c r="D45" s="266">
        <f t="shared" si="0"/>
        <v>0</v>
      </c>
      <c r="E45" s="266">
        <v>0</v>
      </c>
      <c r="F45" s="266">
        <v>0</v>
      </c>
      <c r="G45" s="266">
        <f t="shared" si="1"/>
        <v>0</v>
      </c>
      <c r="H45" s="282">
        <v>5300</v>
      </c>
    </row>
    <row r="46" spans="1:8" x14ac:dyDescent="0.25">
      <c r="A46" s="281" t="s">
        <v>476</v>
      </c>
      <c r="B46" s="266">
        <v>55000</v>
      </c>
      <c r="C46" s="266">
        <v>0</v>
      </c>
      <c r="D46" s="266">
        <f t="shared" si="0"/>
        <v>55000</v>
      </c>
      <c r="E46" s="266">
        <v>0</v>
      </c>
      <c r="F46" s="266">
        <v>0</v>
      </c>
      <c r="G46" s="266">
        <f t="shared" si="1"/>
        <v>55000</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34000</v>
      </c>
      <c r="C48" s="266">
        <v>1202176.42</v>
      </c>
      <c r="D48" s="266">
        <f t="shared" si="0"/>
        <v>1236176.42</v>
      </c>
      <c r="E48" s="266">
        <v>1200676.42</v>
      </c>
      <c r="F48" s="266">
        <v>1200676.42</v>
      </c>
      <c r="G48" s="266">
        <f t="shared" si="1"/>
        <v>35500</v>
      </c>
      <c r="H48" s="282">
        <v>5600</v>
      </c>
    </row>
    <row r="49" spans="1:8" x14ac:dyDescent="0.25">
      <c r="A49" s="281" t="s">
        <v>479</v>
      </c>
      <c r="B49" s="266">
        <v>0</v>
      </c>
      <c r="C49" s="266">
        <v>0</v>
      </c>
      <c r="D49" s="266">
        <f t="shared" si="0"/>
        <v>0</v>
      </c>
      <c r="E49" s="266">
        <v>0</v>
      </c>
      <c r="F49" s="266">
        <v>0</v>
      </c>
      <c r="G49" s="266">
        <f t="shared" si="1"/>
        <v>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253000</v>
      </c>
      <c r="C51" s="266">
        <v>-100711</v>
      </c>
      <c r="D51" s="266">
        <f t="shared" si="0"/>
        <v>152289</v>
      </c>
      <c r="E51" s="266">
        <v>152289</v>
      </c>
      <c r="F51" s="266">
        <v>152289</v>
      </c>
      <c r="G51" s="266">
        <f t="shared" si="1"/>
        <v>0</v>
      </c>
      <c r="H51" s="282">
        <v>5900</v>
      </c>
    </row>
    <row r="52" spans="1:8" x14ac:dyDescent="0.25">
      <c r="A52" s="279" t="s">
        <v>151</v>
      </c>
      <c r="B52" s="283">
        <f>SUM(B53:B55)</f>
        <v>10800000</v>
      </c>
      <c r="C52" s="283">
        <f>SUM(C53:C55)</f>
        <v>-945628.63</v>
      </c>
      <c r="D52" s="283">
        <f t="shared" si="0"/>
        <v>9854371.3699999992</v>
      </c>
      <c r="E52" s="283">
        <f>SUM(E53:E55)</f>
        <v>6814183.3799999999</v>
      </c>
      <c r="F52" s="283">
        <f>SUM(F53:F55)</f>
        <v>6814183.3799999999</v>
      </c>
      <c r="G52" s="283">
        <f t="shared" si="1"/>
        <v>3040187.9899999993</v>
      </c>
      <c r="H52" s="284">
        <v>0</v>
      </c>
    </row>
    <row r="53" spans="1:8" x14ac:dyDescent="0.25">
      <c r="A53" s="281" t="s">
        <v>481</v>
      </c>
      <c r="B53" s="266">
        <v>10800000</v>
      </c>
      <c r="C53" s="266">
        <v>-945628.63</v>
      </c>
      <c r="D53" s="266">
        <f t="shared" si="0"/>
        <v>9854371.3699999992</v>
      </c>
      <c r="E53" s="266">
        <v>6814183.3799999999</v>
      </c>
      <c r="F53" s="266">
        <v>6814183.3799999999</v>
      </c>
      <c r="G53" s="266">
        <f t="shared" si="1"/>
        <v>3040187.9899999993</v>
      </c>
      <c r="H53" s="282">
        <v>6100</v>
      </c>
    </row>
    <row r="54" spans="1:8" x14ac:dyDescent="0.25">
      <c r="A54" s="281" t="s">
        <v>482</v>
      </c>
      <c r="B54" s="266">
        <v>0</v>
      </c>
      <c r="C54" s="266">
        <v>0</v>
      </c>
      <c r="D54" s="266">
        <f t="shared" si="0"/>
        <v>0</v>
      </c>
      <c r="E54" s="266">
        <v>0</v>
      </c>
      <c r="F54" s="266">
        <v>0</v>
      </c>
      <c r="G54" s="266">
        <f t="shared" si="1"/>
        <v>0</v>
      </c>
      <c r="H54" s="282">
        <v>6200</v>
      </c>
    </row>
    <row r="55" spans="1:8" x14ac:dyDescent="0.25">
      <c r="A55" s="281" t="s">
        <v>483</v>
      </c>
      <c r="B55" s="266">
        <v>0</v>
      </c>
      <c r="C55" s="266">
        <v>0</v>
      </c>
      <c r="D55" s="266">
        <f t="shared" si="0"/>
        <v>0</v>
      </c>
      <c r="E55" s="266">
        <v>0</v>
      </c>
      <c r="F55" s="266">
        <v>0</v>
      </c>
      <c r="G55" s="266">
        <f t="shared" si="1"/>
        <v>0</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492</v>
      </c>
      <c r="B68" s="283">
        <f>SUM(B69:B75)</f>
        <v>0</v>
      </c>
      <c r="C68" s="283">
        <f>SUM(C69:C75)</f>
        <v>0</v>
      </c>
      <c r="D68" s="283">
        <f t="shared" si="0"/>
        <v>0</v>
      </c>
      <c r="E68" s="283">
        <f>SUM(E69:E75)</f>
        <v>0</v>
      </c>
      <c r="F68" s="283">
        <f>SUM(F69:F75)</f>
        <v>0</v>
      </c>
      <c r="G68" s="283">
        <f t="shared" si="1"/>
        <v>0</v>
      </c>
      <c r="H68" s="284">
        <v>0</v>
      </c>
    </row>
    <row r="69" spans="1:8" x14ac:dyDescent="0.25">
      <c r="A69" s="281" t="s">
        <v>493</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100310830</v>
      </c>
      <c r="C76" s="278">
        <f t="shared" si="4"/>
        <v>9747281.9100000001</v>
      </c>
      <c r="D76" s="278">
        <f t="shared" si="4"/>
        <v>110058111.91000001</v>
      </c>
      <c r="E76" s="278">
        <f t="shared" si="4"/>
        <v>83487747.149999991</v>
      </c>
      <c r="F76" s="278">
        <f t="shared" si="4"/>
        <v>81718522.170000002</v>
      </c>
      <c r="G76" s="278">
        <f t="shared" si="4"/>
        <v>26570364.75999999</v>
      </c>
    </row>
    <row r="78" spans="1:8" x14ac:dyDescent="0.2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691</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22637787</v>
      </c>
      <c r="C5" s="283">
        <f t="shared" si="0"/>
        <v>2656781.9300000002</v>
      </c>
      <c r="D5" s="283">
        <f t="shared" si="0"/>
        <v>25294568.93</v>
      </c>
      <c r="E5" s="283">
        <f t="shared" si="0"/>
        <v>17893069.030000001</v>
      </c>
      <c r="F5" s="283">
        <f t="shared" si="0"/>
        <v>17694529.800000001</v>
      </c>
      <c r="G5" s="283">
        <f t="shared" si="0"/>
        <v>7401499.8999999985</v>
      </c>
    </row>
    <row r="6" spans="1:7" x14ac:dyDescent="0.25">
      <c r="A6" s="288" t="s">
        <v>496</v>
      </c>
      <c r="B6" s="266">
        <v>0</v>
      </c>
      <c r="C6" s="266">
        <v>0</v>
      </c>
      <c r="D6" s="266">
        <f>B6+C6</f>
        <v>0</v>
      </c>
      <c r="E6" s="266">
        <v>0</v>
      </c>
      <c r="F6" s="266">
        <v>0</v>
      </c>
      <c r="G6" s="266">
        <f>D6-E6</f>
        <v>0</v>
      </c>
    </row>
    <row r="7" spans="1:7" x14ac:dyDescent="0.25">
      <c r="A7" s="288" t="s">
        <v>497</v>
      </c>
      <c r="B7" s="266">
        <v>0</v>
      </c>
      <c r="C7" s="266">
        <v>0</v>
      </c>
      <c r="D7" s="266">
        <f t="shared" ref="D7:D13" si="1">B7+C7</f>
        <v>0</v>
      </c>
      <c r="E7" s="266">
        <v>0</v>
      </c>
      <c r="F7" s="266">
        <v>0</v>
      </c>
      <c r="G7" s="266">
        <f t="shared" ref="G7:G13" si="2">D7-E7</f>
        <v>0</v>
      </c>
    </row>
    <row r="8" spans="1:7" x14ac:dyDescent="0.25">
      <c r="A8" s="288" t="s">
        <v>498</v>
      </c>
      <c r="B8" s="266">
        <v>0</v>
      </c>
      <c r="C8" s="266">
        <v>0</v>
      </c>
      <c r="D8" s="266">
        <f t="shared" si="1"/>
        <v>0</v>
      </c>
      <c r="E8" s="266">
        <v>0</v>
      </c>
      <c r="F8" s="266">
        <v>0</v>
      </c>
      <c r="G8" s="266">
        <f t="shared" si="2"/>
        <v>0</v>
      </c>
    </row>
    <row r="9" spans="1:7" x14ac:dyDescent="0.25">
      <c r="A9" s="288" t="s">
        <v>499</v>
      </c>
      <c r="B9" s="266">
        <v>0</v>
      </c>
      <c r="C9" s="266">
        <v>0</v>
      </c>
      <c r="D9" s="266">
        <f t="shared" si="1"/>
        <v>0</v>
      </c>
      <c r="E9" s="266">
        <v>0</v>
      </c>
      <c r="F9" s="266">
        <v>0</v>
      </c>
      <c r="G9" s="266">
        <f t="shared" si="2"/>
        <v>0</v>
      </c>
    </row>
    <row r="10" spans="1:7" x14ac:dyDescent="0.25">
      <c r="A10" s="288" t="s">
        <v>500</v>
      </c>
      <c r="B10" s="266">
        <v>18667359</v>
      </c>
      <c r="C10" s="266">
        <v>1645732.06</v>
      </c>
      <c r="D10" s="266">
        <f t="shared" si="1"/>
        <v>20313091.059999999</v>
      </c>
      <c r="E10" s="266">
        <v>13910478.84</v>
      </c>
      <c r="F10" s="266">
        <v>13748818.890000001</v>
      </c>
      <c r="G10" s="266">
        <f t="shared" si="2"/>
        <v>6402612.2199999988</v>
      </c>
    </row>
    <row r="11" spans="1:7" x14ac:dyDescent="0.25">
      <c r="A11" s="288" t="s">
        <v>501</v>
      </c>
      <c r="B11" s="266">
        <v>0</v>
      </c>
      <c r="C11" s="266">
        <v>0</v>
      </c>
      <c r="D11" s="266">
        <f t="shared" si="1"/>
        <v>0</v>
      </c>
      <c r="E11" s="266">
        <v>0</v>
      </c>
      <c r="F11" s="266">
        <v>0</v>
      </c>
      <c r="G11" s="266">
        <f t="shared" si="2"/>
        <v>0</v>
      </c>
    </row>
    <row r="12" spans="1:7" x14ac:dyDescent="0.25">
      <c r="A12" s="288" t="s">
        <v>502</v>
      </c>
      <c r="B12" s="266">
        <v>0</v>
      </c>
      <c r="C12" s="266">
        <v>0</v>
      </c>
      <c r="D12" s="266">
        <f t="shared" si="1"/>
        <v>0</v>
      </c>
      <c r="E12" s="266">
        <v>0</v>
      </c>
      <c r="F12" s="266">
        <v>0</v>
      </c>
      <c r="G12" s="266">
        <f t="shared" si="2"/>
        <v>0</v>
      </c>
    </row>
    <row r="13" spans="1:7" x14ac:dyDescent="0.25">
      <c r="A13" s="288" t="s">
        <v>470</v>
      </c>
      <c r="B13" s="266">
        <v>3970428</v>
      </c>
      <c r="C13" s="266">
        <v>1011049.87</v>
      </c>
      <c r="D13" s="266">
        <f t="shared" si="1"/>
        <v>4981477.87</v>
      </c>
      <c r="E13" s="266">
        <v>3982590.19</v>
      </c>
      <c r="F13" s="266">
        <v>3945710.91</v>
      </c>
      <c r="G13" s="266">
        <f t="shared" si="2"/>
        <v>998887.68000000017</v>
      </c>
    </row>
    <row r="14" spans="1:7" x14ac:dyDescent="0.25">
      <c r="A14" s="288"/>
      <c r="B14" s="266"/>
      <c r="C14" s="266"/>
      <c r="D14" s="266"/>
      <c r="E14" s="266"/>
      <c r="F14" s="266"/>
      <c r="G14" s="266"/>
    </row>
    <row r="15" spans="1:7" x14ac:dyDescent="0.25">
      <c r="A15" s="287" t="s">
        <v>503</v>
      </c>
      <c r="B15" s="283">
        <f t="shared" ref="B15:G15" si="3">SUM(B16:B22)</f>
        <v>77673043</v>
      </c>
      <c r="C15" s="283">
        <f t="shared" si="3"/>
        <v>7090499.9800000004</v>
      </c>
      <c r="D15" s="283">
        <f t="shared" si="3"/>
        <v>84763542.979999989</v>
      </c>
      <c r="E15" s="283">
        <f t="shared" si="3"/>
        <v>65594678.119999997</v>
      </c>
      <c r="F15" s="283">
        <f t="shared" si="3"/>
        <v>64023992.370000005</v>
      </c>
      <c r="G15" s="283">
        <f t="shared" si="3"/>
        <v>19168864.859999996</v>
      </c>
    </row>
    <row r="16" spans="1:7" x14ac:dyDescent="0.25">
      <c r="A16" s="288" t="s">
        <v>504</v>
      </c>
      <c r="B16" s="266">
        <v>16238713</v>
      </c>
      <c r="C16" s="266">
        <v>-1188873.0900000001</v>
      </c>
      <c r="D16" s="266">
        <f>B16+C16</f>
        <v>15049839.91</v>
      </c>
      <c r="E16" s="266">
        <v>10323494.82</v>
      </c>
      <c r="F16" s="266">
        <v>10216952.050000001</v>
      </c>
      <c r="G16" s="266">
        <f t="shared" ref="G16:G22" si="4">D16-E16</f>
        <v>4726345.09</v>
      </c>
    </row>
    <row r="17" spans="1:7" x14ac:dyDescent="0.25">
      <c r="A17" s="288" t="s">
        <v>505</v>
      </c>
      <c r="B17" s="266">
        <v>61434330</v>
      </c>
      <c r="C17" s="266">
        <v>8279373.0700000003</v>
      </c>
      <c r="D17" s="266">
        <f t="shared" ref="D17:D22" si="5">B17+C17</f>
        <v>69713703.069999993</v>
      </c>
      <c r="E17" s="266">
        <v>55271183.299999997</v>
      </c>
      <c r="F17" s="266">
        <v>53807040.32</v>
      </c>
      <c r="G17" s="266">
        <f t="shared" si="4"/>
        <v>14442519.769999996</v>
      </c>
    </row>
    <row r="18" spans="1:7" ht="9.9499999999999993" customHeight="1" x14ac:dyDescent="0.25">
      <c r="A18" s="288" t="s">
        <v>506</v>
      </c>
      <c r="B18" s="266">
        <v>0</v>
      </c>
      <c r="C18" s="266">
        <v>0</v>
      </c>
      <c r="D18" s="266">
        <f t="shared" si="5"/>
        <v>0</v>
      </c>
      <c r="E18" s="266">
        <v>0</v>
      </c>
      <c r="F18" s="266">
        <v>0</v>
      </c>
      <c r="G18" s="266">
        <f t="shared" si="4"/>
        <v>0</v>
      </c>
    </row>
    <row r="19" spans="1:7" x14ac:dyDescent="0.25">
      <c r="A19" s="288" t="s">
        <v>507</v>
      </c>
      <c r="B19" s="266">
        <v>0</v>
      </c>
      <c r="C19" s="266">
        <v>0</v>
      </c>
      <c r="D19" s="266">
        <f t="shared" si="5"/>
        <v>0</v>
      </c>
      <c r="E19" s="266">
        <v>0</v>
      </c>
      <c r="F19" s="266">
        <v>0</v>
      </c>
      <c r="G19" s="266">
        <f t="shared" si="4"/>
        <v>0</v>
      </c>
    </row>
    <row r="20" spans="1:7" x14ac:dyDescent="0.25">
      <c r="A20" s="288" t="s">
        <v>508</v>
      </c>
      <c r="B20" s="266">
        <v>0</v>
      </c>
      <c r="C20" s="266">
        <v>0</v>
      </c>
      <c r="D20" s="266">
        <f t="shared" si="5"/>
        <v>0</v>
      </c>
      <c r="E20" s="266">
        <v>0</v>
      </c>
      <c r="F20" s="266">
        <v>0</v>
      </c>
      <c r="G20" s="266">
        <f t="shared" si="4"/>
        <v>0</v>
      </c>
    </row>
    <row r="21" spans="1:7" x14ac:dyDescent="0.25">
      <c r="A21" s="288" t="s">
        <v>509</v>
      </c>
      <c r="B21" s="266">
        <v>0</v>
      </c>
      <c r="C21" s="266">
        <v>0</v>
      </c>
      <c r="D21" s="266">
        <f t="shared" si="5"/>
        <v>0</v>
      </c>
      <c r="E21" s="266">
        <v>0</v>
      </c>
      <c r="F21" s="266">
        <v>0</v>
      </c>
      <c r="G21" s="266">
        <f t="shared" si="4"/>
        <v>0</v>
      </c>
    </row>
    <row r="22" spans="1:7" x14ac:dyDescent="0.25">
      <c r="A22" s="288" t="s">
        <v>510</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511</v>
      </c>
      <c r="B24" s="283">
        <f t="shared" ref="B24:G24" si="6">SUM(B25:B33)</f>
        <v>0</v>
      </c>
      <c r="C24" s="283">
        <f t="shared" si="6"/>
        <v>0</v>
      </c>
      <c r="D24" s="283">
        <f t="shared" si="6"/>
        <v>0</v>
      </c>
      <c r="E24" s="283">
        <f t="shared" si="6"/>
        <v>0</v>
      </c>
      <c r="F24" s="283">
        <f t="shared" si="6"/>
        <v>0</v>
      </c>
      <c r="G24" s="283">
        <f t="shared" si="6"/>
        <v>0</v>
      </c>
    </row>
    <row r="25" spans="1:7" x14ac:dyDescent="0.25">
      <c r="A25" s="288" t="s">
        <v>512</v>
      </c>
      <c r="B25" s="266">
        <v>0</v>
      </c>
      <c r="C25" s="266">
        <v>0</v>
      </c>
      <c r="D25" s="266">
        <f>B25+C25</f>
        <v>0</v>
      </c>
      <c r="E25" s="266">
        <v>0</v>
      </c>
      <c r="F25" s="266">
        <v>0</v>
      </c>
      <c r="G25" s="266">
        <f t="shared" ref="G25:G33" si="7">D25-E25</f>
        <v>0</v>
      </c>
    </row>
    <row r="26" spans="1:7" x14ac:dyDescent="0.25">
      <c r="A26" s="288" t="s">
        <v>513</v>
      </c>
      <c r="B26" s="266">
        <v>0</v>
      </c>
      <c r="C26" s="266">
        <v>0</v>
      </c>
      <c r="D26" s="266">
        <f t="shared" ref="D26:D33" si="8">B26+C26</f>
        <v>0</v>
      </c>
      <c r="E26" s="266">
        <v>0</v>
      </c>
      <c r="F26" s="266">
        <v>0</v>
      </c>
      <c r="G26" s="266">
        <f t="shared" si="7"/>
        <v>0</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0</v>
      </c>
      <c r="C30" s="266">
        <v>0</v>
      </c>
      <c r="D30" s="266">
        <f t="shared" si="8"/>
        <v>0</v>
      </c>
      <c r="E30" s="266">
        <v>0</v>
      </c>
      <c r="F30" s="266">
        <v>0</v>
      </c>
      <c r="G30" s="266">
        <f t="shared" si="7"/>
        <v>0</v>
      </c>
    </row>
    <row r="31" spans="1:7" x14ac:dyDescent="0.25">
      <c r="A31" s="288" t="s">
        <v>518</v>
      </c>
      <c r="B31" s="266">
        <v>0</v>
      </c>
      <c r="C31" s="266">
        <v>0</v>
      </c>
      <c r="D31" s="266">
        <f t="shared" si="8"/>
        <v>0</v>
      </c>
      <c r="E31" s="266">
        <v>0</v>
      </c>
      <c r="F31" s="266">
        <v>0</v>
      </c>
      <c r="G31" s="266">
        <f t="shared" si="7"/>
        <v>0</v>
      </c>
    </row>
    <row r="32" spans="1:7" x14ac:dyDescent="0.25">
      <c r="A32" s="288" t="s">
        <v>519</v>
      </c>
      <c r="B32" s="266">
        <v>0</v>
      </c>
      <c r="C32" s="266">
        <v>0</v>
      </c>
      <c r="D32" s="266">
        <f t="shared" si="8"/>
        <v>0</v>
      </c>
      <c r="E32" s="266">
        <v>0</v>
      </c>
      <c r="F32" s="266">
        <v>0</v>
      </c>
      <c r="G32" s="266">
        <f t="shared" si="7"/>
        <v>0</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100310830</v>
      </c>
      <c r="C41" s="268">
        <f t="shared" si="12"/>
        <v>9747281.9100000001</v>
      </c>
      <c r="D41" s="268">
        <f t="shared" si="12"/>
        <v>110058111.91</v>
      </c>
      <c r="E41" s="268">
        <f t="shared" si="12"/>
        <v>83487747.150000006</v>
      </c>
      <c r="F41" s="268">
        <f t="shared" si="12"/>
        <v>81718522.170000002</v>
      </c>
      <c r="G41" s="268">
        <f t="shared" si="12"/>
        <v>26570364.759999994</v>
      </c>
    </row>
    <row r="43" spans="1:7" x14ac:dyDescent="0.2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695</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530</v>
      </c>
      <c r="B11" s="295">
        <f>SUM(B4:B10)</f>
        <v>0</v>
      </c>
      <c r="C11" s="295">
        <f>SUM(C4:C10)</f>
        <v>0</v>
      </c>
      <c r="D11" s="295">
        <f>SUM(D4:D10)</f>
        <v>0</v>
      </c>
    </row>
    <row r="12" spans="1:4" x14ac:dyDescent="0.25">
      <c r="A12" s="297"/>
      <c r="B12" s="298"/>
      <c r="C12" s="298"/>
      <c r="D12" s="298"/>
    </row>
    <row r="13" spans="1:4" ht="15" customHeight="1" x14ac:dyDescent="0.25">
      <c r="A13" s="504" t="s">
        <v>531</v>
      </c>
      <c r="B13" s="505"/>
      <c r="C13" s="505"/>
      <c r="D13" s="506"/>
    </row>
    <row r="14" spans="1:4" x14ac:dyDescent="0.25">
      <c r="A14" s="292" t="s">
        <v>532</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533</v>
      </c>
      <c r="B24" s="295">
        <f>SUM(B14:B23)</f>
        <v>0</v>
      </c>
      <c r="C24" s="295">
        <f>SUM(C14:C23)</f>
        <v>0</v>
      </c>
      <c r="D24" s="295">
        <f>SUM(D14:D23)</f>
        <v>0</v>
      </c>
    </row>
    <row r="25" spans="1:4" x14ac:dyDescent="0.25">
      <c r="A25" s="297"/>
      <c r="B25" s="299"/>
      <c r="C25" s="299"/>
      <c r="D25" s="299"/>
    </row>
    <row r="26" spans="1:4" x14ac:dyDescent="0.25">
      <c r="A26" s="300" t="s">
        <v>534</v>
      </c>
      <c r="B26" s="295">
        <f>B24+B11</f>
        <v>0</v>
      </c>
      <c r="C26" s="295">
        <f>C24+C11</f>
        <v>0</v>
      </c>
      <c r="D26" s="295">
        <f>D24+D11</f>
        <v>0</v>
      </c>
    </row>
    <row r="27" spans="1:4" x14ac:dyDescent="0.25">
      <c r="A27" s="301"/>
      <c r="B27" s="301"/>
      <c r="C27" s="301"/>
      <c r="D27" s="301"/>
    </row>
    <row r="28" spans="1:4" x14ac:dyDescent="0.25">
      <c r="A28" s="302" t="s">
        <v>442</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696</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693</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100310830</v>
      </c>
      <c r="C5" s="322">
        <f t="shared" ref="C5:G5" si="0">+C6+C9+C18+C22+C25+C30</f>
        <v>9747281.9100000001</v>
      </c>
      <c r="D5" s="322">
        <f t="shared" si="0"/>
        <v>110058111.91</v>
      </c>
      <c r="E5" s="322">
        <f t="shared" si="0"/>
        <v>83487747.150000006</v>
      </c>
      <c r="F5" s="322">
        <f t="shared" si="0"/>
        <v>81718522.170000002</v>
      </c>
      <c r="G5" s="322">
        <f t="shared" si="0"/>
        <v>26570364.75999999</v>
      </c>
    </row>
    <row r="6" spans="1:8" ht="20.100000000000001" customHeight="1" x14ac:dyDescent="0.2">
      <c r="A6" s="323" t="s">
        <v>539</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540</v>
      </c>
      <c r="B7" s="266">
        <v>0</v>
      </c>
      <c r="C7" s="266">
        <v>0</v>
      </c>
      <c r="D7" s="266">
        <f>B7+C7</f>
        <v>0</v>
      </c>
      <c r="E7" s="266">
        <v>0</v>
      </c>
      <c r="F7" s="266">
        <v>0</v>
      </c>
      <c r="G7" s="266">
        <f>D7-E7</f>
        <v>0</v>
      </c>
      <c r="H7" s="324" t="s">
        <v>541</v>
      </c>
    </row>
    <row r="8" spans="1:8" ht="14.1"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100310830</v>
      </c>
      <c r="C9" s="283">
        <f>SUM(C10:C17)</f>
        <v>9747281.9100000001</v>
      </c>
      <c r="D9" s="283">
        <f t="shared" ref="D9:G9" si="2">SUM(D10:D17)</f>
        <v>110058111.91</v>
      </c>
      <c r="E9" s="283">
        <f t="shared" si="2"/>
        <v>83487747.150000006</v>
      </c>
      <c r="F9" s="283">
        <f t="shared" si="2"/>
        <v>81718522.170000002</v>
      </c>
      <c r="G9" s="283">
        <f t="shared" si="2"/>
        <v>26570364.75999999</v>
      </c>
      <c r="H9" s="324">
        <v>0</v>
      </c>
    </row>
    <row r="10" spans="1:8" ht="9.9499999999999993" customHeight="1" x14ac:dyDescent="0.2">
      <c r="A10" s="325" t="s">
        <v>545</v>
      </c>
      <c r="B10" s="266">
        <v>100310830</v>
      </c>
      <c r="C10" s="266">
        <v>9747281.9100000001</v>
      </c>
      <c r="D10" s="266">
        <f t="shared" ref="D10:D17" si="3">B10+C10</f>
        <v>110058111.91</v>
      </c>
      <c r="E10" s="266">
        <v>83487747.150000006</v>
      </c>
      <c r="F10" s="266">
        <v>81718522.170000002</v>
      </c>
      <c r="G10" s="266">
        <f t="shared" ref="G10:G17" si="4">D10-E10</f>
        <v>26570364.75999999</v>
      </c>
      <c r="H10" s="324" t="s">
        <v>546</v>
      </c>
    </row>
    <row r="11" spans="1:8" ht="9.9499999999999993" customHeight="1" x14ac:dyDescent="0.2">
      <c r="A11" s="325" t="s">
        <v>547</v>
      </c>
      <c r="B11" s="266">
        <v>0</v>
      </c>
      <c r="C11" s="266">
        <v>0</v>
      </c>
      <c r="D11" s="266">
        <f t="shared" si="3"/>
        <v>0</v>
      </c>
      <c r="E11" s="266">
        <v>0</v>
      </c>
      <c r="F11" s="266">
        <v>0</v>
      </c>
      <c r="G11" s="266">
        <f t="shared" si="4"/>
        <v>0</v>
      </c>
      <c r="H11" s="324" t="s">
        <v>548</v>
      </c>
    </row>
    <row r="12" spans="1:8" ht="9.9499999999999993" customHeight="1" x14ac:dyDescent="0.2">
      <c r="A12" s="325" t="s">
        <v>549</v>
      </c>
      <c r="B12" s="266">
        <v>0</v>
      </c>
      <c r="C12" s="266">
        <v>0</v>
      </c>
      <c r="D12" s="266">
        <f t="shared" si="3"/>
        <v>0</v>
      </c>
      <c r="E12" s="266">
        <v>0</v>
      </c>
      <c r="F12" s="266">
        <v>0</v>
      </c>
      <c r="G12" s="266">
        <f t="shared" si="4"/>
        <v>0</v>
      </c>
      <c r="H12" s="324" t="s">
        <v>550</v>
      </c>
    </row>
    <row r="13" spans="1:8" x14ac:dyDescent="0.2">
      <c r="A13" s="325" t="s">
        <v>551</v>
      </c>
      <c r="B13" s="266">
        <v>0</v>
      </c>
      <c r="C13" s="266">
        <v>0</v>
      </c>
      <c r="D13" s="266">
        <f t="shared" si="3"/>
        <v>0</v>
      </c>
      <c r="E13" s="266">
        <v>0</v>
      </c>
      <c r="F13" s="266">
        <v>0</v>
      </c>
      <c r="G13" s="266">
        <f t="shared" si="4"/>
        <v>0</v>
      </c>
      <c r="H13" s="324" t="s">
        <v>552</v>
      </c>
    </row>
    <row r="14" spans="1:8" ht="9.9499999999999993" customHeight="1" x14ac:dyDescent="0.2">
      <c r="A14" s="325" t="s">
        <v>553</v>
      </c>
      <c r="B14" s="266">
        <v>0</v>
      </c>
      <c r="C14" s="266">
        <v>0</v>
      </c>
      <c r="D14" s="266">
        <f t="shared" si="3"/>
        <v>0</v>
      </c>
      <c r="E14" s="266">
        <v>0</v>
      </c>
      <c r="F14" s="266">
        <v>0</v>
      </c>
      <c r="G14" s="266">
        <f t="shared" si="4"/>
        <v>0</v>
      </c>
      <c r="H14" s="324" t="s">
        <v>554</v>
      </c>
    </row>
    <row r="15" spans="1:8" ht="9.9499999999999993"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0</v>
      </c>
      <c r="C17" s="266">
        <v>0</v>
      </c>
      <c r="D17" s="266">
        <f t="shared" si="3"/>
        <v>0</v>
      </c>
      <c r="E17" s="266">
        <v>0</v>
      </c>
      <c r="F17" s="266">
        <v>0</v>
      </c>
      <c r="G17" s="266">
        <f t="shared" si="4"/>
        <v>0</v>
      </c>
      <c r="H17" s="324" t="s">
        <v>560</v>
      </c>
    </row>
    <row r="18" spans="1:8" ht="10.5" customHeight="1" x14ac:dyDescent="0.2">
      <c r="A18" s="323" t="s">
        <v>561</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562</v>
      </c>
      <c r="B19" s="266">
        <v>0</v>
      </c>
      <c r="C19" s="266">
        <v>0</v>
      </c>
      <c r="D19" s="266">
        <f t="shared" ref="D19:D21" si="6">B19+C19</f>
        <v>0</v>
      </c>
      <c r="E19" s="266">
        <v>0</v>
      </c>
      <c r="F19" s="266">
        <v>0</v>
      </c>
      <c r="G19" s="266">
        <f t="shared" ref="G19:G21" si="7">D19-E19</f>
        <v>0</v>
      </c>
      <c r="H19" s="324" t="s">
        <v>563</v>
      </c>
    </row>
    <row r="20" spans="1:8" ht="9.9499999999999993" customHeight="1" x14ac:dyDescent="0.2">
      <c r="A20" s="325" t="s">
        <v>564</v>
      </c>
      <c r="B20" s="266">
        <v>0</v>
      </c>
      <c r="C20" s="266">
        <v>0</v>
      </c>
      <c r="D20" s="266">
        <f t="shared" si="6"/>
        <v>0</v>
      </c>
      <c r="E20" s="266">
        <v>0</v>
      </c>
      <c r="F20" s="266">
        <v>0</v>
      </c>
      <c r="G20" s="266">
        <f t="shared" si="7"/>
        <v>0</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574</v>
      </c>
      <c r="B26" s="266">
        <v>0</v>
      </c>
      <c r="C26" s="266">
        <v>0</v>
      </c>
      <c r="D26" s="266">
        <f t="shared" ref="D26:D29" si="12">B26+C26</f>
        <v>0</v>
      </c>
      <c r="E26" s="266">
        <v>0</v>
      </c>
      <c r="F26" s="266">
        <v>0</v>
      </c>
      <c r="G26" s="266">
        <f t="shared" ref="G26:G29" si="13">D26-E26</f>
        <v>0</v>
      </c>
      <c r="H26" s="324" t="s">
        <v>575</v>
      </c>
    </row>
    <row r="27" spans="1:8" ht="9.9499999999999993" customHeight="1" x14ac:dyDescent="0.2">
      <c r="A27" s="325" t="s">
        <v>576</v>
      </c>
      <c r="B27" s="266">
        <v>0</v>
      </c>
      <c r="C27" s="266">
        <v>0</v>
      </c>
      <c r="D27" s="266">
        <f t="shared" si="12"/>
        <v>0</v>
      </c>
      <c r="E27" s="266">
        <v>0</v>
      </c>
      <c r="F27" s="266">
        <v>0</v>
      </c>
      <c r="G27" s="266">
        <f t="shared" si="13"/>
        <v>0</v>
      </c>
      <c r="H27" s="324" t="s">
        <v>577</v>
      </c>
    </row>
    <row r="28" spans="1:8" ht="9.9499999999999993" customHeight="1" x14ac:dyDescent="0.2">
      <c r="A28" s="325" t="s">
        <v>578</v>
      </c>
      <c r="B28" s="266">
        <v>0</v>
      </c>
      <c r="C28" s="266">
        <v>0</v>
      </c>
      <c r="D28" s="266">
        <f t="shared" si="12"/>
        <v>0</v>
      </c>
      <c r="E28" s="266">
        <v>0</v>
      </c>
      <c r="F28" s="266">
        <v>0</v>
      </c>
      <c r="G28" s="266">
        <f t="shared" si="13"/>
        <v>0</v>
      </c>
      <c r="H28" s="324" t="s">
        <v>579</v>
      </c>
    </row>
    <row r="29" spans="1:8" ht="9.9499999999999993"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
      <c r="A36" s="327" t="s">
        <v>429</v>
      </c>
      <c r="B36" s="268">
        <f>+B5+B32+B33+B34</f>
        <v>100310830</v>
      </c>
      <c r="C36" s="268">
        <f t="shared" ref="C36:G36" si="17">+C5+C32+C33+C34</f>
        <v>9747281.9100000001</v>
      </c>
      <c r="D36" s="268">
        <f t="shared" si="17"/>
        <v>110058111.91</v>
      </c>
      <c r="E36" s="268">
        <f t="shared" si="17"/>
        <v>83487747.150000006</v>
      </c>
      <c r="F36" s="268">
        <f t="shared" si="17"/>
        <v>81718522.170000002</v>
      </c>
      <c r="G36" s="268">
        <f t="shared" si="17"/>
        <v>26570364.75999999</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673</v>
      </c>
      <c r="B1" s="516"/>
      <c r="C1" s="516"/>
      <c r="D1" s="516"/>
      <c r="E1" s="516"/>
      <c r="F1" s="516"/>
      <c r="G1" s="329" t="s">
        <v>0</v>
      </c>
      <c r="H1" s="330">
        <v>2025</v>
      </c>
    </row>
    <row r="2" spans="1:10" ht="18.95" customHeight="1" x14ac:dyDescent="0.2">
      <c r="A2" s="515" t="s">
        <v>590</v>
      </c>
      <c r="B2" s="516"/>
      <c r="C2" s="516"/>
      <c r="D2" s="516"/>
      <c r="E2" s="516"/>
      <c r="F2" s="516"/>
      <c r="G2" s="329" t="s">
        <v>2</v>
      </c>
      <c r="H2" s="330" t="s">
        <v>3</v>
      </c>
    </row>
    <row r="3" spans="1:10" ht="18.95" customHeight="1" x14ac:dyDescent="0.2">
      <c r="A3" s="512" t="s">
        <v>697</v>
      </c>
      <c r="B3" s="513"/>
      <c r="C3" s="513"/>
      <c r="D3" s="513"/>
      <c r="E3" s="513"/>
      <c r="F3" s="513"/>
      <c r="G3" s="329" t="s">
        <v>4</v>
      </c>
      <c r="H3" s="330">
        <v>3</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100310830</v>
      </c>
      <c r="D41" s="339"/>
      <c r="E41" s="339"/>
      <c r="F41" s="339"/>
    </row>
    <row r="42" spans="1:6" x14ac:dyDescent="0.2">
      <c r="A42" s="331">
        <v>8120</v>
      </c>
      <c r="B42" s="342" t="s">
        <v>628</v>
      </c>
      <c r="C42" s="343">
        <v>-32139988.469999999</v>
      </c>
      <c r="D42" s="339"/>
      <c r="E42" s="339"/>
      <c r="F42" s="339"/>
    </row>
    <row r="43" spans="1:6" x14ac:dyDescent="0.2">
      <c r="A43" s="331">
        <v>8130</v>
      </c>
      <c r="B43" s="342" t="s">
        <v>629</v>
      </c>
      <c r="C43" s="343">
        <v>1039905</v>
      </c>
      <c r="D43" s="339"/>
      <c r="E43" s="339"/>
      <c r="F43" s="339"/>
    </row>
    <row r="44" spans="1:6" x14ac:dyDescent="0.2">
      <c r="A44" s="331">
        <v>8140</v>
      </c>
      <c r="B44" s="342" t="s">
        <v>630</v>
      </c>
      <c r="C44" s="343">
        <v>-16424.87</v>
      </c>
      <c r="D44" s="339"/>
      <c r="E44" s="339"/>
      <c r="F44" s="339"/>
    </row>
    <row r="45" spans="1:6" x14ac:dyDescent="0.2">
      <c r="A45" s="331">
        <v>8150</v>
      </c>
      <c r="B45" s="342" t="s">
        <v>631</v>
      </c>
      <c r="C45" s="343">
        <v>-69194321.659999996</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-100310830</v>
      </c>
    </row>
    <row r="51" spans="1:3" x14ac:dyDescent="0.2">
      <c r="A51" s="331">
        <v>8220</v>
      </c>
      <c r="B51" s="342" t="s">
        <v>634</v>
      </c>
      <c r="C51" s="349">
        <v>26379411.120000001</v>
      </c>
    </row>
    <row r="52" spans="1:3" x14ac:dyDescent="0.2">
      <c r="A52" s="331">
        <v>8230</v>
      </c>
      <c r="B52" s="342" t="s">
        <v>635</v>
      </c>
      <c r="C52" s="349">
        <v>-9747281.9100000001</v>
      </c>
    </row>
    <row r="53" spans="1:3" x14ac:dyDescent="0.2">
      <c r="A53" s="331">
        <v>8240</v>
      </c>
      <c r="B53" s="342" t="s">
        <v>636</v>
      </c>
      <c r="C53" s="349">
        <v>190953.64</v>
      </c>
    </row>
    <row r="54" spans="1:3" x14ac:dyDescent="0.2">
      <c r="A54" s="331">
        <v>8250</v>
      </c>
      <c r="B54" s="342" t="s">
        <v>637</v>
      </c>
      <c r="C54" s="349">
        <v>0</v>
      </c>
    </row>
    <row r="55" spans="1:3" x14ac:dyDescent="0.2">
      <c r="A55" s="331">
        <v>8260</v>
      </c>
      <c r="B55" s="342" t="s">
        <v>638</v>
      </c>
      <c r="C55" s="349">
        <v>1769224.98</v>
      </c>
    </row>
    <row r="56" spans="1:3" x14ac:dyDescent="0.2">
      <c r="A56" s="331">
        <v>8270</v>
      </c>
      <c r="B56" s="342" t="s">
        <v>639</v>
      </c>
      <c r="C56" s="349">
        <v>81718522.170000002</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3</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6020431.8199999928</v>
      </c>
      <c r="E7" s="196" t="s">
        <v>272</v>
      </c>
      <c r="F7" s="369">
        <f>IF(ESF!E36&gt;0,ESF!E36,ESF!E36*-1)</f>
        <v>6020431.8200000003</v>
      </c>
      <c r="G7" s="393">
        <f>ROUND(D7-F7,2)</f>
        <v>0</v>
      </c>
      <c r="H7" s="84" t="s">
        <v>282</v>
      </c>
      <c r="I7" s="380">
        <f>IF(ACT!C66&gt;0,ACT!C66,ACT!C66*-1)</f>
        <v>24557744.840000004</v>
      </c>
      <c r="J7" s="85" t="s">
        <v>272</v>
      </c>
      <c r="K7" s="386">
        <f>IF(ESF!F36&gt;0,ESF!F36,ESF!F36*-1)</f>
        <v>24557744.84</v>
      </c>
      <c r="L7" s="388">
        <f>ROUND(I7-K7,2)</f>
        <v>0</v>
      </c>
      <c r="M7" s="136" t="s">
        <v>203</v>
      </c>
    </row>
    <row r="8" spans="1:13" ht="12" thickBot="1" x14ac:dyDescent="0.25">
      <c r="A8" s="72" t="s">
        <v>12</v>
      </c>
      <c r="B8" s="171" t="s">
        <v>203</v>
      </c>
      <c r="C8" s="86" t="s">
        <v>283</v>
      </c>
      <c r="D8" s="369">
        <f>IF(ACT!B66&gt;0,ACT!B66,ACT!B66*-1)</f>
        <v>6020431.8199999928</v>
      </c>
      <c r="E8" s="87" t="s">
        <v>286</v>
      </c>
      <c r="F8" s="375">
        <f>IF(VHP!D28&gt;0,VHP!D28,VHP!D28*-1)</f>
        <v>6020431.8200000003</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24557744.840000004</v>
      </c>
      <c r="J9" s="91" t="s">
        <v>286</v>
      </c>
      <c r="K9" s="381">
        <f>IF(VHP!D10&gt;0,VHP!D10,VHP!D10*-1)</f>
        <v>24557744.84</v>
      </c>
      <c r="L9" s="389">
        <f>ROUND(I9-K9,2)</f>
        <v>0</v>
      </c>
      <c r="M9" s="137" t="s">
        <v>203</v>
      </c>
    </row>
    <row r="10" spans="1:13" ht="12" thickBot="1" x14ac:dyDescent="0.25">
      <c r="A10" s="72" t="s">
        <v>17</v>
      </c>
      <c r="B10" s="171" t="s">
        <v>203</v>
      </c>
      <c r="C10" s="92"/>
      <c r="D10" s="93"/>
      <c r="E10" s="94" t="s">
        <v>286</v>
      </c>
      <c r="F10" s="375">
        <f>IF(VHP!D29&gt;0,VHP!D29,VHP!D29*-1)</f>
        <v>24557744.84</v>
      </c>
      <c r="G10" s="95"/>
      <c r="H10" s="90" t="s">
        <v>282</v>
      </c>
      <c r="I10" s="380">
        <f>IF(ACT!C66&gt;0,ACT!C66,ACT!C66*-1)</f>
        <v>24557744.840000004</v>
      </c>
      <c r="J10" s="96"/>
      <c r="K10" s="97"/>
      <c r="L10" s="389">
        <f>ROUND(F10-I10,2)</f>
        <v>0</v>
      </c>
      <c r="M10" s="137" t="s">
        <v>203</v>
      </c>
    </row>
    <row r="11" spans="1:13" ht="12" thickBot="1" x14ac:dyDescent="0.25">
      <c r="A11" s="72" t="s">
        <v>19</v>
      </c>
      <c r="B11" s="171" t="s">
        <v>203</v>
      </c>
      <c r="C11" s="90" t="s">
        <v>272</v>
      </c>
      <c r="D11" s="370">
        <f>IF(ESF!E36&gt;0,ESF!E36,ESF!E36*-1)</f>
        <v>6020431.8200000003</v>
      </c>
      <c r="E11" s="98" t="s">
        <v>282</v>
      </c>
      <c r="F11" s="376">
        <f>IF(ACT!B66&gt;0,ACT!B66,ACT!B66*-1)</f>
        <v>6020431.8199999928</v>
      </c>
      <c r="G11" s="395">
        <f t="shared" ref="G11:G28" si="0">ROUND(D11-F11,2)</f>
        <v>0</v>
      </c>
      <c r="H11" s="90" t="s">
        <v>272</v>
      </c>
      <c r="I11" s="382">
        <f>IF(ESF!F36&gt;0,ESF!F36,ESF!F36*-1)</f>
        <v>24557744.84</v>
      </c>
      <c r="J11" s="91" t="s">
        <v>282</v>
      </c>
      <c r="K11" s="381">
        <f>IF(ACT!C66&gt;0,ACT!C66,ACT!C66*-1)</f>
        <v>24557744.840000004</v>
      </c>
      <c r="L11" s="389">
        <f>ROUND(I11-K11,2)</f>
        <v>0</v>
      </c>
      <c r="M11" s="137" t="s">
        <v>203</v>
      </c>
    </row>
    <row r="12" spans="1:13" x14ac:dyDescent="0.2">
      <c r="A12" s="73" t="s">
        <v>22</v>
      </c>
      <c r="B12" s="173" t="s">
        <v>160</v>
      </c>
      <c r="C12" s="99" t="s">
        <v>272</v>
      </c>
      <c r="D12" s="371">
        <f>IF(ESF!B5&gt;0,ESF!B5,ESF!B5*-1)</f>
        <v>4321212.79</v>
      </c>
      <c r="E12" s="100" t="s">
        <v>273</v>
      </c>
      <c r="F12" s="377">
        <f>IF(EAA!E5&gt;0,EAA!E5,EAA!E5*-1)</f>
        <v>4321212.7899999917</v>
      </c>
      <c r="G12" s="396">
        <f t="shared" si="0"/>
        <v>0</v>
      </c>
      <c r="H12" s="101" t="s">
        <v>272</v>
      </c>
      <c r="I12" s="383">
        <f>IF(ESF!C5&gt;0,ESF!C5,ESF!C5*-1)</f>
        <v>19173913.719999999</v>
      </c>
      <c r="J12" s="102" t="s">
        <v>273</v>
      </c>
      <c r="K12" s="387">
        <f>IF(EAA!B5&gt;0,EAA!B5,EAA!B5*-1)</f>
        <v>19173913.719999999</v>
      </c>
      <c r="L12" s="390">
        <f t="shared" ref="L12:L43" si="1">ROUND(I12-K12,2)</f>
        <v>0</v>
      </c>
      <c r="M12" s="138" t="s">
        <v>160</v>
      </c>
    </row>
    <row r="13" spans="1:13" x14ac:dyDescent="0.2">
      <c r="A13" s="74"/>
      <c r="B13" s="164" t="s">
        <v>162</v>
      </c>
      <c r="C13" s="103" t="s">
        <v>272</v>
      </c>
      <c r="D13" s="372">
        <f>IF(ESF!B6&gt;0,ESF!B6,ESF!B6*-1)</f>
        <v>5850055.3300000001</v>
      </c>
      <c r="E13" s="104" t="s">
        <v>273</v>
      </c>
      <c r="F13" s="378">
        <f>IF(EAA!E6&gt;0,EAA!E6,EAA!E6*-1)</f>
        <v>5850055.3300000131</v>
      </c>
      <c r="G13" s="397">
        <f t="shared" si="0"/>
        <v>0</v>
      </c>
      <c r="H13" s="105" t="s">
        <v>272</v>
      </c>
      <c r="I13" s="384">
        <f>IF(ESF!C6&gt;0,ESF!C6,ESF!C6*-1)</f>
        <v>5691196.79</v>
      </c>
      <c r="J13" s="94" t="s">
        <v>273</v>
      </c>
      <c r="K13" s="384">
        <f>IF(EAA!B6&gt;0,EAA!B6,EAA!B6*-1)</f>
        <v>5691196.79</v>
      </c>
      <c r="L13" s="391">
        <f t="shared" si="1"/>
        <v>0</v>
      </c>
      <c r="M13" s="139" t="s">
        <v>162</v>
      </c>
    </row>
    <row r="14" spans="1:13" x14ac:dyDescent="0.2">
      <c r="A14" s="74"/>
      <c r="B14" s="164" t="s">
        <v>164</v>
      </c>
      <c r="C14" s="103" t="s">
        <v>272</v>
      </c>
      <c r="D14" s="372">
        <f>IF(ESF!B7&gt;0,ESF!B7,ESF!B7*-1)</f>
        <v>362036.94</v>
      </c>
      <c r="E14" s="104" t="s">
        <v>273</v>
      </c>
      <c r="F14" s="378">
        <f>IF(EAA!E7&gt;0,EAA!E7,EAA!E7*-1)</f>
        <v>362036.94000000041</v>
      </c>
      <c r="G14" s="397">
        <f t="shared" si="0"/>
        <v>0</v>
      </c>
      <c r="H14" s="105" t="s">
        <v>272</v>
      </c>
      <c r="I14" s="384">
        <f>IF(ESF!C7&gt;0,ESF!C7,ESF!C7*-1)</f>
        <v>928451.14</v>
      </c>
      <c r="J14" s="94" t="s">
        <v>273</v>
      </c>
      <c r="K14" s="384">
        <f>IF(EAA!B7&gt;0,EAA!B7,EAA!B7*-1)</f>
        <v>928451.14</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3946700.15</v>
      </c>
      <c r="E16" s="104" t="s">
        <v>273</v>
      </c>
      <c r="F16" s="378">
        <f>IF(EAA!E9&gt;0,EAA!E9,EAA!E9*-1)</f>
        <v>3946700.1499999994</v>
      </c>
      <c r="G16" s="397">
        <f t="shared" si="0"/>
        <v>0</v>
      </c>
      <c r="H16" s="105" t="s">
        <v>272</v>
      </c>
      <c r="I16" s="384">
        <f>IF(ESF!C9&gt;0,ESF!C9,ESF!C9*-1)</f>
        <v>1913073.33</v>
      </c>
      <c r="J16" s="94" t="s">
        <v>273</v>
      </c>
      <c r="K16" s="384">
        <f>IF(EAA!B9&gt;0,EAA!B9,EAA!B9*-1)</f>
        <v>1913073.33</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196783840.52000001</v>
      </c>
      <c r="E21" s="104" t="s">
        <v>273</v>
      </c>
      <c r="F21" s="378">
        <f>IF(EAA!E15&gt;0,EAA!E15,EAA!E15*-1)</f>
        <v>196783840.52000001</v>
      </c>
      <c r="G21" s="397">
        <f t="shared" si="0"/>
        <v>0</v>
      </c>
      <c r="H21" s="105" t="s">
        <v>272</v>
      </c>
      <c r="I21" s="384">
        <f>IF(ESF!C18&gt;0,ESF!C18,ESF!C18*-1)</f>
        <v>189969657.13999999</v>
      </c>
      <c r="J21" s="94" t="s">
        <v>273</v>
      </c>
      <c r="K21" s="384">
        <f>IF(EAA!B15&gt;0,EAA!B15,EAA!B15*-1)</f>
        <v>189969657.13999999</v>
      </c>
      <c r="L21" s="391">
        <f t="shared" si="1"/>
        <v>0</v>
      </c>
      <c r="M21" s="139" t="s">
        <v>182</v>
      </c>
    </row>
    <row r="22" spans="1:13" x14ac:dyDescent="0.2">
      <c r="A22" s="74"/>
      <c r="B22" s="164" t="s">
        <v>184</v>
      </c>
      <c r="C22" s="103" t="s">
        <v>272</v>
      </c>
      <c r="D22" s="372">
        <f>IF(ESF!B19&gt;0,ESF!B19,ESF!B19*-1)</f>
        <v>31605987.609999999</v>
      </c>
      <c r="E22" s="104" t="s">
        <v>273</v>
      </c>
      <c r="F22" s="378">
        <f>IF(EAA!E16&gt;0,EAA!E16,EAA!E16*-1)</f>
        <v>31605987.609999999</v>
      </c>
      <c r="G22" s="397">
        <f t="shared" si="0"/>
        <v>0</v>
      </c>
      <c r="H22" s="105" t="s">
        <v>272</v>
      </c>
      <c r="I22" s="384">
        <f>IF(ESF!C19&gt;0,ESF!C19,ESF!C19*-1)</f>
        <v>30315891.190000001</v>
      </c>
      <c r="J22" s="94" t="s">
        <v>273</v>
      </c>
      <c r="K22" s="384">
        <f>IF(EAA!B16&gt;0,EAA!B16,EAA!B16*-1)</f>
        <v>30315891.190000001</v>
      </c>
      <c r="L22" s="391">
        <f t="shared" si="1"/>
        <v>0</v>
      </c>
      <c r="M22" s="139" t="s">
        <v>184</v>
      </c>
    </row>
    <row r="23" spans="1:13" x14ac:dyDescent="0.2">
      <c r="A23" s="74"/>
      <c r="B23" s="164" t="s">
        <v>186</v>
      </c>
      <c r="C23" s="103" t="s">
        <v>272</v>
      </c>
      <c r="D23" s="372">
        <f>IF(ESF!B20&gt;0,ESF!B20,ESF!B20*-1)</f>
        <v>8355196.3399999999</v>
      </c>
      <c r="E23" s="104" t="s">
        <v>273</v>
      </c>
      <c r="F23" s="378">
        <f>IF(EAA!E17&gt;0,EAA!E17,EAA!E17*-1)</f>
        <v>8355196.3399999999</v>
      </c>
      <c r="G23" s="397">
        <f t="shared" si="0"/>
        <v>0</v>
      </c>
      <c r="H23" s="105" t="s">
        <v>272</v>
      </c>
      <c r="I23" s="384">
        <f>IF(ESF!C20&gt;0,ESF!C20,ESF!C20*-1)</f>
        <v>8202907.3399999999</v>
      </c>
      <c r="J23" s="94" t="s">
        <v>273</v>
      </c>
      <c r="K23" s="384">
        <f>IF(EAA!B17&gt;0,EAA!B17,EAA!B17*-1)</f>
        <v>8202907.3399999999</v>
      </c>
      <c r="L23" s="391">
        <f t="shared" si="1"/>
        <v>0</v>
      </c>
      <c r="M23" s="139" t="s">
        <v>186</v>
      </c>
    </row>
    <row r="24" spans="1:13" ht="22.5" x14ac:dyDescent="0.2">
      <c r="A24" s="74"/>
      <c r="B24" s="164" t="s">
        <v>188</v>
      </c>
      <c r="C24" s="103" t="s">
        <v>272</v>
      </c>
      <c r="D24" s="372">
        <f>IF(ESF!B21&gt;0,ESF!B21,ESF!B21*-1)</f>
        <v>51729394.200000003</v>
      </c>
      <c r="E24" s="104" t="s">
        <v>273</v>
      </c>
      <c r="F24" s="378">
        <f>IF(EAA!E18&gt;0,EAA!E18,EAA!E18*-1)</f>
        <v>51729394.200000003</v>
      </c>
      <c r="G24" s="397">
        <f t="shared" si="0"/>
        <v>0</v>
      </c>
      <c r="H24" s="105" t="s">
        <v>272</v>
      </c>
      <c r="I24" s="384">
        <f>IF(ESF!C21&gt;0,ESF!C21,ESF!C21*-1)</f>
        <v>51729394.200000003</v>
      </c>
      <c r="J24" s="94" t="s">
        <v>273</v>
      </c>
      <c r="K24" s="384">
        <f>IF(EAA!B18&gt;0,EAA!B18,EAA!B18*-1)</f>
        <v>51729394.200000003</v>
      </c>
      <c r="L24" s="391">
        <f t="shared" si="1"/>
        <v>0</v>
      </c>
      <c r="M24" s="139" t="s">
        <v>188</v>
      </c>
    </row>
    <row r="25" spans="1:13" x14ac:dyDescent="0.2">
      <c r="A25" s="74"/>
      <c r="B25" s="164" t="s">
        <v>190</v>
      </c>
      <c r="C25" s="103" t="s">
        <v>272</v>
      </c>
      <c r="D25" s="372">
        <f>IF(ESF!B22&gt;0,ESF!B22,ESF!B22*-1)</f>
        <v>400359.9</v>
      </c>
      <c r="E25" s="104" t="s">
        <v>273</v>
      </c>
      <c r="F25" s="378">
        <f>IF(EAA!E19&gt;0,EAA!E19,EAA!E19*-1)</f>
        <v>400359.9</v>
      </c>
      <c r="G25" s="397">
        <f t="shared" si="0"/>
        <v>0</v>
      </c>
      <c r="H25" s="105" t="s">
        <v>272</v>
      </c>
      <c r="I25" s="384">
        <f>IF(ESF!C22&gt;0,ESF!C22,ESF!C22*-1)</f>
        <v>626158.56000000006</v>
      </c>
      <c r="J25" s="94" t="s">
        <v>273</v>
      </c>
      <c r="K25" s="384">
        <f>IF(EAA!B19&gt;0,EAA!B19,EAA!B19*-1)</f>
        <v>626158.56000000006</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4321212.79</v>
      </c>
      <c r="E28" s="111" t="s">
        <v>274</v>
      </c>
      <c r="F28" s="370">
        <f>IF(EFE!B65&gt;0,EFE!B65,EFE!B65*-1)</f>
        <v>4321212.79</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19173913.719999999</v>
      </c>
      <c r="J29" s="91" t="s">
        <v>274</v>
      </c>
      <c r="K29" s="381">
        <f>IF(EFE!B63&gt;0,EFE!B63,EFE!B63*-1)</f>
        <v>19173913.719999999</v>
      </c>
      <c r="L29" s="389">
        <f t="shared" si="1"/>
        <v>0</v>
      </c>
      <c r="M29" s="137" t="s">
        <v>160</v>
      </c>
    </row>
    <row r="30" spans="1:13" ht="12" thickBot="1" x14ac:dyDescent="0.25">
      <c r="A30" s="72" t="s">
        <v>30</v>
      </c>
      <c r="B30" s="171" t="s">
        <v>275</v>
      </c>
      <c r="C30" s="110" t="s">
        <v>272</v>
      </c>
      <c r="D30" s="370">
        <f>IF(ESF!B28&gt;0,ESF!B28,ESF!B28*-1)</f>
        <v>199895995.38</v>
      </c>
      <c r="E30" s="91" t="s">
        <v>272</v>
      </c>
      <c r="F30" s="370">
        <f>IF(ESF!E48&gt;0,ESF!E48,ESF!E48*-1)</f>
        <v>199895995.38</v>
      </c>
      <c r="G30" s="395">
        <f>ROUND(D30-F30,2)</f>
        <v>0</v>
      </c>
      <c r="H30" s="90" t="s">
        <v>272</v>
      </c>
      <c r="I30" s="381">
        <f>IF(ESF!C28&gt;0,ESF!C28,ESF!C28*-1)</f>
        <v>205091855.00999996</v>
      </c>
      <c r="J30" s="91" t="s">
        <v>272</v>
      </c>
      <c r="K30" s="381">
        <f>IF(ESF!F48&gt;0,ESF!F48,ESF!F48*-1)</f>
        <v>205091855.00999999</v>
      </c>
      <c r="L30" s="389">
        <f t="shared" si="1"/>
        <v>0</v>
      </c>
      <c r="M30" s="137" t="s">
        <v>275</v>
      </c>
    </row>
    <row r="31" spans="1:13" ht="12" thickBot="1" x14ac:dyDescent="0.25">
      <c r="A31" s="72" t="s">
        <v>33</v>
      </c>
      <c r="B31" s="171" t="s">
        <v>276</v>
      </c>
      <c r="C31" s="110" t="s">
        <v>272</v>
      </c>
      <c r="D31" s="370">
        <f>IF(ESF!E26&gt;0,ESF!E26,ESF!E26*-1)</f>
        <v>3013777.09</v>
      </c>
      <c r="E31" s="91" t="s">
        <v>287</v>
      </c>
      <c r="F31" s="370">
        <f>IF(ADP!E34&gt;0,ADP!E34,ADP!E34*-1)</f>
        <v>3013777.09</v>
      </c>
      <c r="G31" s="395">
        <f>ROUND(D31-F31,2)</f>
        <v>0</v>
      </c>
      <c r="H31" s="90" t="s">
        <v>272</v>
      </c>
      <c r="I31" s="381">
        <f>IF(ESF!F26&gt;0,ESF!F26,ESF!F26*-1)</f>
        <v>2189204.9</v>
      </c>
      <c r="J31" s="91" t="s">
        <v>287</v>
      </c>
      <c r="K31" s="381">
        <f>IF(ADP!D34&gt;0,ADP!D34,ADP!D34*-1)</f>
        <v>2189204.9</v>
      </c>
      <c r="L31" s="389">
        <f t="shared" si="1"/>
        <v>0</v>
      </c>
      <c r="M31" s="137" t="s">
        <v>276</v>
      </c>
    </row>
    <row r="32" spans="1:13" x14ac:dyDescent="0.2">
      <c r="A32" s="73" t="s">
        <v>36</v>
      </c>
      <c r="B32" s="175" t="s">
        <v>199</v>
      </c>
      <c r="C32" s="439"/>
      <c r="D32" s="440"/>
      <c r="E32" s="440"/>
      <c r="F32" s="440"/>
      <c r="G32" s="441"/>
      <c r="H32" s="101" t="s">
        <v>272</v>
      </c>
      <c r="I32" s="399">
        <f>IF(ESF!F30&gt;0,ESF!F30,ESF!F30*-1)</f>
        <v>113065968.13</v>
      </c>
      <c r="J32" s="102" t="s">
        <v>286</v>
      </c>
      <c r="K32" s="399">
        <f>IF(VHP!B4&gt;0,VHP!B4,VHP!B4*-1)</f>
        <v>113065968.13</v>
      </c>
      <c r="L32" s="390">
        <f t="shared" si="1"/>
        <v>0</v>
      </c>
      <c r="M32" s="141" t="s">
        <v>199</v>
      </c>
    </row>
    <row r="33" spans="1:15" ht="12" thickBot="1" x14ac:dyDescent="0.25">
      <c r="A33" s="75"/>
      <c r="B33" s="176" t="s">
        <v>199</v>
      </c>
      <c r="C33" s="437"/>
      <c r="D33" s="438"/>
      <c r="E33" s="438"/>
      <c r="F33" s="438"/>
      <c r="G33" s="442"/>
      <c r="H33" s="117" t="s">
        <v>272</v>
      </c>
      <c r="I33" s="385">
        <f>IF(ESF!F30&gt;0,ESF!F30,ESF!F30*-1)</f>
        <v>113065968.13</v>
      </c>
      <c r="J33" s="109" t="s">
        <v>286</v>
      </c>
      <c r="K33" s="385">
        <f>IF(VHP!F4&gt;0,VHP!F4,VHP!F4*-1)</f>
        <v>113065968.13</v>
      </c>
      <c r="L33" s="392">
        <f t="shared" si="1"/>
        <v>0</v>
      </c>
      <c r="M33" s="142" t="s">
        <v>199</v>
      </c>
    </row>
    <row r="34" spans="1:15" ht="12" thickBot="1" x14ac:dyDescent="0.25">
      <c r="A34" s="72" t="s">
        <v>39</v>
      </c>
      <c r="B34" s="177" t="s">
        <v>202</v>
      </c>
      <c r="C34" s="437"/>
      <c r="D34" s="438"/>
      <c r="E34" s="438"/>
      <c r="F34" s="438"/>
      <c r="G34" s="442"/>
      <c r="H34" s="90" t="s">
        <v>272</v>
      </c>
      <c r="I34" s="381">
        <f>IF(ESF!F35&gt;0,ESF!F35,ESF!F35*-1)</f>
        <v>89836681.979999989</v>
      </c>
      <c r="J34" s="91" t="s">
        <v>286</v>
      </c>
      <c r="K34" s="381">
        <f>IF(VHP!F9&gt;0,VHP!F9,VHP!F9*-1)</f>
        <v>89836681.979999989</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196882218.28999999</v>
      </c>
      <c r="E37" s="91" t="s">
        <v>286</v>
      </c>
      <c r="F37" s="370">
        <f>IF(VHP!F38&gt;0,VHP!F38,VHP!F38*-1)</f>
        <v>196882218.28999999</v>
      </c>
      <c r="G37" s="400">
        <f>ROUND(D37-F37,2)</f>
        <v>0</v>
      </c>
      <c r="H37" s="90" t="s">
        <v>272</v>
      </c>
      <c r="I37" s="381">
        <f>IF(ESF!F46&gt;0,ESF!F46,ESF!F46*-1)</f>
        <v>202902650.10999998</v>
      </c>
      <c r="J37" s="91" t="s">
        <v>286</v>
      </c>
      <c r="K37" s="381">
        <f>IF(VHP!F20&gt;0,VHP!F20,VHP!F20*-1)</f>
        <v>202902650.10999998</v>
      </c>
      <c r="L37" s="389">
        <f t="shared" si="1"/>
        <v>0</v>
      </c>
      <c r="M37" s="146" t="s">
        <v>277</v>
      </c>
    </row>
    <row r="38" spans="1:15" ht="22.5" x14ac:dyDescent="0.2">
      <c r="A38" s="73" t="s">
        <v>45</v>
      </c>
      <c r="B38" s="175" t="s">
        <v>278</v>
      </c>
      <c r="C38" s="439"/>
      <c r="D38" s="440"/>
      <c r="E38" s="440"/>
      <c r="F38" s="440"/>
      <c r="G38" s="441"/>
      <c r="H38" s="101" t="s">
        <v>286</v>
      </c>
      <c r="I38" s="399">
        <f>IF(VHP!B4&gt;0,VHP!B4,VHP!B4*-1)</f>
        <v>113065968.13</v>
      </c>
      <c r="J38" s="102" t="s">
        <v>272</v>
      </c>
      <c r="K38" s="399">
        <f>IF(ESF!F30&gt;0,ESF!F30,ESF!F30*-1)</f>
        <v>113065968.13</v>
      </c>
      <c r="L38" s="390">
        <f t="shared" si="1"/>
        <v>0</v>
      </c>
      <c r="M38" s="141" t="s">
        <v>278</v>
      </c>
    </row>
    <row r="39" spans="1:15" ht="23.25" thickBot="1" x14ac:dyDescent="0.25">
      <c r="A39" s="75"/>
      <c r="B39" s="176" t="s">
        <v>278</v>
      </c>
      <c r="C39" s="437"/>
      <c r="D39" s="438"/>
      <c r="E39" s="438"/>
      <c r="F39" s="438"/>
      <c r="G39" s="442"/>
      <c r="H39" s="117" t="s">
        <v>286</v>
      </c>
      <c r="I39" s="385">
        <f>IF(VHP!F4&gt;0,VHP!F4,VHP!F4*-1)</f>
        <v>113065968.13</v>
      </c>
      <c r="J39" s="109" t="s">
        <v>272</v>
      </c>
      <c r="K39" s="385">
        <f>IF(ESF!F30&gt;0,ESF!F30,ESF!F30*-1)</f>
        <v>113065968.13</v>
      </c>
      <c r="L39" s="392">
        <f t="shared" si="1"/>
        <v>0</v>
      </c>
      <c r="M39" s="142" t="s">
        <v>278</v>
      </c>
    </row>
    <row r="40" spans="1:15" ht="23.25" thickBot="1" x14ac:dyDescent="0.25">
      <c r="A40" s="72" t="s">
        <v>48</v>
      </c>
      <c r="B40" s="177" t="s">
        <v>279</v>
      </c>
      <c r="C40" s="437"/>
      <c r="D40" s="438"/>
      <c r="E40" s="438"/>
      <c r="F40" s="438"/>
      <c r="G40" s="442"/>
      <c r="H40" s="90" t="s">
        <v>286</v>
      </c>
      <c r="I40" s="381">
        <f>IF(VHP!F9&gt;0,VHP!F9,VHP!F9*-1)</f>
        <v>89836681.979999989</v>
      </c>
      <c r="J40" s="91" t="s">
        <v>272</v>
      </c>
      <c r="K40" s="381">
        <f>IF(ESF!F35&gt;0,ESF!F35,ESF!F35*-1)</f>
        <v>89836681.979999989</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196882218.28999999</v>
      </c>
      <c r="E43" s="91" t="s">
        <v>272</v>
      </c>
      <c r="F43" s="118">
        <f>IF(ESF!E46&gt;0,ESF!E46,ESF!E46*-1)</f>
        <v>196882218.28999999</v>
      </c>
      <c r="G43" s="395">
        <f t="shared" ref="G43:G49" si="2">ROUND(D43-F43,2)</f>
        <v>0</v>
      </c>
      <c r="H43" s="90" t="s">
        <v>286</v>
      </c>
      <c r="I43" s="381">
        <f>IF(VHP!F20&gt;0,VHP!F20,VHP!F20*-1)</f>
        <v>202902650.10999998</v>
      </c>
      <c r="J43" s="91" t="s">
        <v>272</v>
      </c>
      <c r="K43" s="381">
        <f>IF(ESF!F46&gt;0,ESF!F46,ESF!F46*-1)</f>
        <v>202902650.10999998</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24557744.84</v>
      </c>
      <c r="E50" s="91" t="s">
        <v>288</v>
      </c>
      <c r="F50" s="118">
        <f>IF(CSF!$B52&gt;0,CSF!$B52,CSF!$C52)</f>
        <v>24557744.84</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18537313.02</v>
      </c>
      <c r="E53" s="91" t="s">
        <v>288</v>
      </c>
      <c r="F53" s="118">
        <f>IF(CSF!$B51&gt;0,CSF!$B51,CSF!$C51)</f>
        <v>18537313.02</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6020431.8200000003</v>
      </c>
      <c r="E54" s="102" t="s">
        <v>272</v>
      </c>
      <c r="F54" s="119">
        <f>IF(ESF!E36&gt;0,ESF!E36,ESF!E36*-1)</f>
        <v>6020431.8200000003</v>
      </c>
      <c r="G54" s="396">
        <f t="shared" si="3"/>
        <v>0</v>
      </c>
      <c r="H54" s="437"/>
      <c r="I54" s="438"/>
      <c r="J54" s="438"/>
      <c r="K54" s="438"/>
      <c r="L54" s="442"/>
      <c r="M54" s="152" t="s">
        <v>154</v>
      </c>
    </row>
    <row r="55" spans="1:13" ht="12" thickBot="1" x14ac:dyDescent="0.25">
      <c r="A55" s="75"/>
      <c r="B55" s="183" t="s">
        <v>154</v>
      </c>
      <c r="C55" s="117" t="s">
        <v>286</v>
      </c>
      <c r="D55" s="379">
        <f>IF(VHP!D28&gt;0,VHP!D28,VHP!D28*-1)</f>
        <v>6020431.8200000003</v>
      </c>
      <c r="E55" s="109" t="s">
        <v>282</v>
      </c>
      <c r="F55" s="124">
        <f>IF(ACT!B66&gt;0,ACT!B66,ACT!B66*-1)</f>
        <v>6020431.8199999928</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24557744.84</v>
      </c>
      <c r="J56" s="131" t="s">
        <v>272</v>
      </c>
      <c r="K56" s="387">
        <f>IF(ESF!F36&gt;0,ESF!F36,ESF!F36*-1)</f>
        <v>24557744.84</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24557744.84</v>
      </c>
      <c r="J57" s="94" t="s">
        <v>282</v>
      </c>
      <c r="K57" s="405">
        <f>IF(ACT!C66&gt;0,ACT!C66,ACT!C66*-1)</f>
        <v>24557744.840000004</v>
      </c>
      <c r="L57" s="391">
        <f t="shared" si="4"/>
        <v>0</v>
      </c>
      <c r="M57" s="150" t="s">
        <v>154</v>
      </c>
    </row>
    <row r="58" spans="1:13" x14ac:dyDescent="0.2">
      <c r="A58" s="83" t="s">
        <v>68</v>
      </c>
      <c r="B58" s="193" t="s">
        <v>204</v>
      </c>
      <c r="C58" s="122" t="s">
        <v>286</v>
      </c>
      <c r="D58" s="378">
        <f>IF(VHP!D29&gt;0,VHP!D29,VHP!D29*-1)</f>
        <v>24557744.84</v>
      </c>
      <c r="E58" s="128"/>
      <c r="F58" s="128"/>
      <c r="G58" s="128"/>
      <c r="H58" s="449"/>
      <c r="I58" s="450"/>
      <c r="J58" s="94" t="s">
        <v>272</v>
      </c>
      <c r="K58" s="384">
        <f>IF(ESF!F36&gt;0,ESF!F36,ESF!F36*-1)</f>
        <v>24557744.84</v>
      </c>
      <c r="L58" s="391">
        <f>ROUND((D58-K58),2)</f>
        <v>0</v>
      </c>
      <c r="M58" s="154" t="s">
        <v>204</v>
      </c>
    </row>
    <row r="59" spans="1:13" ht="12" thickBot="1" x14ac:dyDescent="0.25">
      <c r="A59" s="75"/>
      <c r="B59" s="194" t="s">
        <v>204</v>
      </c>
      <c r="C59" s="125" t="s">
        <v>286</v>
      </c>
      <c r="D59" s="404">
        <f>IF(VHP!D29&gt;0,VHP!D29,VHP!D29*-1)</f>
        <v>24557744.84</v>
      </c>
      <c r="E59" s="128"/>
      <c r="F59" s="128"/>
      <c r="G59" s="128"/>
      <c r="H59" s="443"/>
      <c r="I59" s="451"/>
      <c r="J59" s="126" t="s">
        <v>283</v>
      </c>
      <c r="K59" s="405">
        <f>IF(ACT!C66&gt;0,ACT!C66,ACT!C66*-1)</f>
        <v>24557744.840000004</v>
      </c>
      <c r="L59" s="407">
        <f>ROUND((D59-K59),2)</f>
        <v>0</v>
      </c>
      <c r="M59" s="149" t="s">
        <v>204</v>
      </c>
    </row>
    <row r="60" spans="1:13" ht="12" thickBot="1" x14ac:dyDescent="0.25">
      <c r="A60" s="78" t="s">
        <v>72</v>
      </c>
      <c r="B60" s="186" t="s">
        <v>160</v>
      </c>
      <c r="C60" s="90" t="s">
        <v>288</v>
      </c>
      <c r="D60" s="118">
        <f>IF(CSF!$B5&gt;0,CSF!$B5,CSF!$C5)</f>
        <v>14852700.93</v>
      </c>
      <c r="E60" s="91" t="s">
        <v>274</v>
      </c>
      <c r="F60" s="118">
        <f>IF(EFE!B61&gt;0,EFE!B61,EFE!B61*-1)</f>
        <v>14852700.930000007</v>
      </c>
      <c r="G60" s="395">
        <f>ROUND(D60-F60,2)</f>
        <v>0</v>
      </c>
      <c r="H60" s="439"/>
      <c r="I60" s="440"/>
      <c r="J60" s="440"/>
      <c r="K60" s="440"/>
      <c r="L60" s="441"/>
      <c r="M60" s="155" t="s">
        <v>160</v>
      </c>
    </row>
    <row r="61" spans="1:13" x14ac:dyDescent="0.2">
      <c r="A61" s="76" t="s">
        <v>75</v>
      </c>
      <c r="B61" s="187" t="s">
        <v>160</v>
      </c>
      <c r="C61" s="101" t="s">
        <v>288</v>
      </c>
      <c r="D61" s="119">
        <f>IF(CSF!$B5&gt;0,CSF!$B5,CSF!$C5)</f>
        <v>14852700.93</v>
      </c>
      <c r="E61" s="102" t="s">
        <v>273</v>
      </c>
      <c r="F61" s="119">
        <f>IF(EAA!F5&gt;0,EAA!F5,EAA!F5*-1)</f>
        <v>14852700.930000007</v>
      </c>
      <c r="G61" s="396">
        <f>ROUND(D61-F61,2)</f>
        <v>0</v>
      </c>
      <c r="H61" s="437"/>
      <c r="I61" s="438"/>
      <c r="J61" s="438"/>
      <c r="K61" s="438"/>
      <c r="L61" s="442"/>
      <c r="M61" s="156" t="s">
        <v>160</v>
      </c>
    </row>
    <row r="62" spans="1:13" x14ac:dyDescent="0.2">
      <c r="A62" s="79"/>
      <c r="B62" s="167" t="s">
        <v>162</v>
      </c>
      <c r="C62" s="122" t="s">
        <v>288</v>
      </c>
      <c r="D62" s="123">
        <f>IF(CSF!$B6&gt;0,CSF!$B6,CSF!$C6)</f>
        <v>158858.54</v>
      </c>
      <c r="E62" s="94" t="s">
        <v>273</v>
      </c>
      <c r="F62" s="123">
        <f>IF(EAA!F6&gt;0,EAA!F6,EAA!F6*-1)</f>
        <v>158858.54000001308</v>
      </c>
      <c r="G62" s="397">
        <f>ROUND(D62-F62,2)</f>
        <v>0</v>
      </c>
      <c r="H62" s="437"/>
      <c r="I62" s="438"/>
      <c r="J62" s="438"/>
      <c r="K62" s="438"/>
      <c r="L62" s="442"/>
      <c r="M62" s="157" t="s">
        <v>162</v>
      </c>
    </row>
    <row r="63" spans="1:13" x14ac:dyDescent="0.2">
      <c r="A63" s="79"/>
      <c r="B63" s="167" t="s">
        <v>164</v>
      </c>
      <c r="C63" s="122" t="s">
        <v>288</v>
      </c>
      <c r="D63" s="123">
        <f>IF(CSF!$B7&gt;0,CSF!$B7,CSF!$C7)</f>
        <v>566414.19999999995</v>
      </c>
      <c r="E63" s="94" t="s">
        <v>273</v>
      </c>
      <c r="F63" s="123">
        <f>IF(EAA!F7&gt;0,EAA!F7,EAA!F7*-1)</f>
        <v>566414.1999999996</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2033626.82</v>
      </c>
      <c r="E65" s="94" t="s">
        <v>273</v>
      </c>
      <c r="F65" s="123">
        <f>IF(EAA!F9&gt;0,EAA!F9,EAA!F9*-1)</f>
        <v>2033626.8199999994</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6814183.3799999999</v>
      </c>
      <c r="E70" s="94" t="s">
        <v>273</v>
      </c>
      <c r="F70" s="123">
        <f>IF(EAA!F15&gt;0,EAA!F15,EAA!F15*-1)</f>
        <v>6814183.380000025</v>
      </c>
      <c r="G70" s="397">
        <f t="shared" si="5"/>
        <v>0</v>
      </c>
      <c r="H70" s="437"/>
      <c r="I70" s="438"/>
      <c r="J70" s="438"/>
      <c r="K70" s="438"/>
      <c r="L70" s="442"/>
      <c r="M70" s="157" t="s">
        <v>182</v>
      </c>
    </row>
    <row r="71" spans="1:13" x14ac:dyDescent="0.2">
      <c r="A71" s="79"/>
      <c r="B71" s="167" t="s">
        <v>184</v>
      </c>
      <c r="C71" s="122" t="s">
        <v>288</v>
      </c>
      <c r="D71" s="123">
        <f>IF(CSF!$B17&gt;0,CSF!$B17,CSF!$C17)</f>
        <v>1290096.42</v>
      </c>
      <c r="E71" s="94" t="s">
        <v>273</v>
      </c>
      <c r="F71" s="123">
        <f>IF(EAA!F16&gt;0,EAA!F16,EAA!F16*-1)</f>
        <v>1290096.4199999981</v>
      </c>
      <c r="G71" s="397">
        <f t="shared" si="5"/>
        <v>0</v>
      </c>
      <c r="H71" s="437"/>
      <c r="I71" s="438"/>
      <c r="J71" s="438"/>
      <c r="K71" s="438"/>
      <c r="L71" s="442"/>
      <c r="M71" s="157" t="s">
        <v>184</v>
      </c>
    </row>
    <row r="72" spans="1:13" x14ac:dyDescent="0.2">
      <c r="A72" s="79"/>
      <c r="B72" s="167" t="s">
        <v>186</v>
      </c>
      <c r="C72" s="122" t="s">
        <v>288</v>
      </c>
      <c r="D72" s="123">
        <f>IF(CSF!$B18&gt;0,CSF!$B18,CSF!$C18)</f>
        <v>152289</v>
      </c>
      <c r="E72" s="94" t="s">
        <v>273</v>
      </c>
      <c r="F72" s="123">
        <f>IF(EAA!F17&gt;0,EAA!F17,EAA!F17*-1)</f>
        <v>152289</v>
      </c>
      <c r="G72" s="397">
        <f t="shared" si="5"/>
        <v>0</v>
      </c>
      <c r="H72" s="437"/>
      <c r="I72" s="438"/>
      <c r="J72" s="438"/>
      <c r="K72" s="438"/>
      <c r="L72" s="442"/>
      <c r="M72" s="157" t="s">
        <v>186</v>
      </c>
    </row>
    <row r="73" spans="1:13" ht="22.5" x14ac:dyDescent="0.2">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x14ac:dyDescent="0.2">
      <c r="A74" s="79"/>
      <c r="B74" s="167" t="s">
        <v>190</v>
      </c>
      <c r="C74" s="122" t="s">
        <v>288</v>
      </c>
      <c r="D74" s="123">
        <f>IF(CSF!$B20&gt;0,CSF!$B20,CSF!$C20)</f>
        <v>225798.66</v>
      </c>
      <c r="E74" s="94" t="s">
        <v>273</v>
      </c>
      <c r="F74" s="123">
        <f>IF(EAA!F19&gt;0,EAA!F19,EAA!F19*-1)</f>
        <v>225798.66000000003</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18537313.02</v>
      </c>
      <c r="E80" s="91" t="s">
        <v>286</v>
      </c>
      <c r="F80" s="118">
        <f>IF((VHP!D28+VHP!D29)&gt;0,VHP!D28+VHP!D29,(VHP!D28+VHP!D29)*-1)</f>
        <v>18537313.02</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14852700.930000007</v>
      </c>
      <c r="E81" s="91" t="s">
        <v>288</v>
      </c>
      <c r="F81" s="118">
        <f>IF(CSF!$B5&gt;0,CSF!$B5,CSF!$C5)</f>
        <v>14852700.93</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4321212.79</v>
      </c>
      <c r="E82" s="91" t="s">
        <v>272</v>
      </c>
      <c r="F82" s="118">
        <f>IF(ESF!B5&gt;0,ESF!B5,ESF!B5*-1)</f>
        <v>4321212.79</v>
      </c>
      <c r="G82" s="395">
        <f t="shared" si="6"/>
        <v>0</v>
      </c>
      <c r="H82" s="90" t="s">
        <v>274</v>
      </c>
      <c r="I82" s="381">
        <f>IF(EFE!C65&gt;0,EFE!C65,EFE!C65*-1)</f>
        <v>19173913.719999999</v>
      </c>
      <c r="J82" s="91" t="s">
        <v>272</v>
      </c>
      <c r="K82" s="381">
        <f>IF(ESF!C5&gt;0,ESF!C5,ESF!C5*-1)</f>
        <v>19173913.719999999</v>
      </c>
      <c r="L82" s="389">
        <f t="shared" ref="L82:L99" si="7">ROUND(I82-K82,2)</f>
        <v>0</v>
      </c>
      <c r="M82" s="137" t="s">
        <v>245</v>
      </c>
    </row>
    <row r="83" spans="1:13" ht="23.25" thickBot="1" x14ac:dyDescent="0.25">
      <c r="A83" s="78" t="s">
        <v>89</v>
      </c>
      <c r="B83" s="171" t="s">
        <v>244</v>
      </c>
      <c r="C83" s="132" t="s">
        <v>274</v>
      </c>
      <c r="D83" s="370">
        <f>IF(EFE!B63&gt;0,EFE!B63,EFE!B63*-1)</f>
        <v>19173913.719999999</v>
      </c>
      <c r="E83" s="446"/>
      <c r="F83" s="447"/>
      <c r="G83" s="447"/>
      <c r="H83" s="447"/>
      <c r="I83" s="448"/>
      <c r="J83" s="91" t="s">
        <v>272</v>
      </c>
      <c r="K83" s="409">
        <f>IF(ESF!C5&gt;0,ESF!C5,ESF!C5*-1)</f>
        <v>19173913.719999999</v>
      </c>
      <c r="L83" s="389">
        <f>ROUND(D83-K83,2)</f>
        <v>0</v>
      </c>
      <c r="M83" s="137" t="s">
        <v>244</v>
      </c>
    </row>
    <row r="84" spans="1:13" x14ac:dyDescent="0.2">
      <c r="A84" s="76" t="s">
        <v>91</v>
      </c>
      <c r="B84" s="189" t="s">
        <v>160</v>
      </c>
      <c r="C84" s="101" t="s">
        <v>273</v>
      </c>
      <c r="D84" s="377">
        <f>IF(EAA!E5&gt;0,EAA!E5,EAA!E5*-1)</f>
        <v>4321212.7899999917</v>
      </c>
      <c r="E84" s="102" t="s">
        <v>272</v>
      </c>
      <c r="F84" s="197">
        <f>IF(ESF!B5&gt;0,ESF!B5,ESF!B5*-1)</f>
        <v>4321212.79</v>
      </c>
      <c r="G84" s="396">
        <f t="shared" ref="G84:G99" si="8">ROUND(D84-F84,2)</f>
        <v>0</v>
      </c>
      <c r="H84" s="101" t="s">
        <v>273</v>
      </c>
      <c r="I84" s="375">
        <f>IF(EAA!B5&gt;0,EAA!B5,EAA!B5*-1)</f>
        <v>19173913.719999999</v>
      </c>
      <c r="J84" s="102" t="s">
        <v>272</v>
      </c>
      <c r="K84" s="399">
        <f>IF(ESF!C5&gt;0,ESF!C5,ESF!C5*-1)</f>
        <v>19173913.719999999</v>
      </c>
      <c r="L84" s="390">
        <f t="shared" si="7"/>
        <v>0</v>
      </c>
      <c r="M84" s="159" t="s">
        <v>160</v>
      </c>
    </row>
    <row r="85" spans="1:13" x14ac:dyDescent="0.2">
      <c r="A85" s="79"/>
      <c r="B85" s="168" t="s">
        <v>162</v>
      </c>
      <c r="C85" s="122" t="s">
        <v>273</v>
      </c>
      <c r="D85" s="378">
        <f>IF(EAA!E6&gt;0,EAA!E6,EAA!E6*-1)</f>
        <v>5850055.3300000131</v>
      </c>
      <c r="E85" s="94" t="s">
        <v>272</v>
      </c>
      <c r="F85" s="123">
        <f>IF(ESF!B6&gt;0,ESF!B6,ESF!B6*-1)</f>
        <v>5850055.3300000001</v>
      </c>
      <c r="G85" s="397">
        <f t="shared" si="8"/>
        <v>0</v>
      </c>
      <c r="H85" s="122" t="s">
        <v>273</v>
      </c>
      <c r="I85" s="384">
        <f>IF(EAA!B6&gt;0,EAA!B6,EAA!B6*-1)</f>
        <v>5691196.79</v>
      </c>
      <c r="J85" s="94" t="s">
        <v>272</v>
      </c>
      <c r="K85" s="384">
        <f>IF(ESF!C6&gt;0,ESF!C6,ESF!C6*-1)</f>
        <v>5691196.79</v>
      </c>
      <c r="L85" s="391">
        <f t="shared" si="7"/>
        <v>0</v>
      </c>
      <c r="M85" s="160" t="s">
        <v>162</v>
      </c>
    </row>
    <row r="86" spans="1:13" x14ac:dyDescent="0.2">
      <c r="A86" s="79"/>
      <c r="B86" s="168" t="s">
        <v>164</v>
      </c>
      <c r="C86" s="122" t="s">
        <v>273</v>
      </c>
      <c r="D86" s="378">
        <f>IF(EAA!E7&gt;0,EAA!E7,EAA!E7*-1)</f>
        <v>362036.94000000041</v>
      </c>
      <c r="E86" s="94" t="s">
        <v>272</v>
      </c>
      <c r="F86" s="123">
        <f>IF(ESF!B7&gt;0,ESF!B7,ESF!B7*-1)</f>
        <v>362036.94</v>
      </c>
      <c r="G86" s="397">
        <f t="shared" si="8"/>
        <v>0</v>
      </c>
      <c r="H86" s="122" t="s">
        <v>273</v>
      </c>
      <c r="I86" s="384">
        <f>IF(EAA!B7&gt;0,EAA!B7,EAA!B7*-1)</f>
        <v>928451.14</v>
      </c>
      <c r="J86" s="94" t="s">
        <v>272</v>
      </c>
      <c r="K86" s="384">
        <f>IF(ESF!C7&gt;0,ESF!C7,ESF!C7*-1)</f>
        <v>928451.14</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3946700.1499999994</v>
      </c>
      <c r="E88" s="94" t="s">
        <v>272</v>
      </c>
      <c r="F88" s="123">
        <f>IF(ESF!B9&gt;0,ESF!B9,ESF!B9*-1)</f>
        <v>3946700.15</v>
      </c>
      <c r="G88" s="397">
        <f t="shared" si="8"/>
        <v>0</v>
      </c>
      <c r="H88" s="122" t="s">
        <v>273</v>
      </c>
      <c r="I88" s="384">
        <f>IF(EAA!B9&gt;0,EAA!B9,EAA!B9*-1)</f>
        <v>1913073.33</v>
      </c>
      <c r="J88" s="94" t="s">
        <v>272</v>
      </c>
      <c r="K88" s="384">
        <f>IF(ESF!C9&gt;0,ESF!C9,ESF!C9*-1)</f>
        <v>1913073.33</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196783840.52000001</v>
      </c>
      <c r="E93" s="94" t="s">
        <v>272</v>
      </c>
      <c r="F93" s="123">
        <f>IF(ESF!B18&gt;0,ESF!B18,ESF!B18*-1)</f>
        <v>196783840.52000001</v>
      </c>
      <c r="G93" s="397">
        <f t="shared" si="8"/>
        <v>0</v>
      </c>
      <c r="H93" s="122" t="s">
        <v>273</v>
      </c>
      <c r="I93" s="384">
        <f>IF(EAA!B15&gt;0,EAA!B15,EAA!B15*-1)</f>
        <v>189969657.13999999</v>
      </c>
      <c r="J93" s="94" t="s">
        <v>272</v>
      </c>
      <c r="K93" s="384">
        <f>IF(ESF!C18&gt;0,ESF!C18,ESF!C18*-1)</f>
        <v>189969657.13999999</v>
      </c>
      <c r="L93" s="391">
        <f t="shared" si="7"/>
        <v>0</v>
      </c>
      <c r="M93" s="160" t="s">
        <v>182</v>
      </c>
    </row>
    <row r="94" spans="1:13" x14ac:dyDescent="0.2">
      <c r="A94" s="79"/>
      <c r="B94" s="168" t="s">
        <v>184</v>
      </c>
      <c r="C94" s="122" t="s">
        <v>273</v>
      </c>
      <c r="D94" s="378">
        <f>IF(EAA!E16&gt;0,EAA!E16,EAA!E16*-1)</f>
        <v>31605987.609999999</v>
      </c>
      <c r="E94" s="94" t="s">
        <v>272</v>
      </c>
      <c r="F94" s="123">
        <f>IF(ESF!B19&gt;0,ESF!B19,ESF!B19*-1)</f>
        <v>31605987.609999999</v>
      </c>
      <c r="G94" s="397">
        <f t="shared" si="8"/>
        <v>0</v>
      </c>
      <c r="H94" s="122" t="s">
        <v>273</v>
      </c>
      <c r="I94" s="384">
        <f>IF(EAA!B16&gt;0,EAA!B16,EAA!B16*-1)</f>
        <v>30315891.190000001</v>
      </c>
      <c r="J94" s="94" t="s">
        <v>272</v>
      </c>
      <c r="K94" s="384">
        <f>IF(ESF!C19&gt;0,ESF!C19,ESF!C19*-1)</f>
        <v>30315891.190000001</v>
      </c>
      <c r="L94" s="391">
        <f t="shared" si="7"/>
        <v>0</v>
      </c>
      <c r="M94" s="160" t="s">
        <v>184</v>
      </c>
    </row>
    <row r="95" spans="1:13" x14ac:dyDescent="0.2">
      <c r="A95" s="79"/>
      <c r="B95" s="168" t="s">
        <v>186</v>
      </c>
      <c r="C95" s="122" t="s">
        <v>273</v>
      </c>
      <c r="D95" s="378">
        <f>IF(EAA!E17&gt;0,EAA!E17,EAA!E17*-1)</f>
        <v>8355196.3399999999</v>
      </c>
      <c r="E95" s="94" t="s">
        <v>272</v>
      </c>
      <c r="F95" s="123">
        <f>IF(ESF!B20&gt;0,ESF!B20,ESF!B20*-1)</f>
        <v>8355196.3399999999</v>
      </c>
      <c r="G95" s="397">
        <f t="shared" si="8"/>
        <v>0</v>
      </c>
      <c r="H95" s="122" t="s">
        <v>273</v>
      </c>
      <c r="I95" s="384">
        <f>IF(EAA!B17&gt;0,EAA!B17,EAA!B17*-1)</f>
        <v>8202907.3399999999</v>
      </c>
      <c r="J95" s="94" t="s">
        <v>272</v>
      </c>
      <c r="K95" s="384">
        <f>IF(ESF!C20&gt;0,ESF!C20,ESF!C20*-1)</f>
        <v>8202907.3399999999</v>
      </c>
      <c r="L95" s="391">
        <f t="shared" si="7"/>
        <v>0</v>
      </c>
      <c r="M95" s="160" t="s">
        <v>186</v>
      </c>
    </row>
    <row r="96" spans="1:13" ht="22.5" x14ac:dyDescent="0.2">
      <c r="A96" s="79"/>
      <c r="B96" s="168" t="s">
        <v>188</v>
      </c>
      <c r="C96" s="122" t="s">
        <v>273</v>
      </c>
      <c r="D96" s="378">
        <f>IF(EAA!E18&gt;0,EAA!E18,EAA!E18*-1)</f>
        <v>51729394.200000003</v>
      </c>
      <c r="E96" s="94" t="s">
        <v>272</v>
      </c>
      <c r="F96" s="123">
        <f>IF(ESF!B21&gt;0,ESF!B21,ESF!B21*-1)</f>
        <v>51729394.200000003</v>
      </c>
      <c r="G96" s="397">
        <f t="shared" si="8"/>
        <v>0</v>
      </c>
      <c r="H96" s="122" t="s">
        <v>273</v>
      </c>
      <c r="I96" s="384">
        <f>IF(EAA!B18&gt;0,EAA!B18,EAA!B18*-1)</f>
        <v>51729394.200000003</v>
      </c>
      <c r="J96" s="94" t="s">
        <v>272</v>
      </c>
      <c r="K96" s="384">
        <f>IF(ESF!C21&gt;0,ESF!C21,ESF!C21*-1)</f>
        <v>51729394.200000003</v>
      </c>
      <c r="L96" s="391">
        <f t="shared" si="7"/>
        <v>0</v>
      </c>
      <c r="M96" s="160" t="s">
        <v>188</v>
      </c>
    </row>
    <row r="97" spans="1:13" x14ac:dyDescent="0.2">
      <c r="A97" s="79"/>
      <c r="B97" s="168" t="s">
        <v>190</v>
      </c>
      <c r="C97" s="122" t="s">
        <v>273</v>
      </c>
      <c r="D97" s="378">
        <f>IF(EAA!E19&gt;0,EAA!E19,EAA!E19*-1)</f>
        <v>400359.9</v>
      </c>
      <c r="E97" s="94" t="s">
        <v>272</v>
      </c>
      <c r="F97" s="123">
        <f>IF(ESF!B22&gt;0,ESF!B22,ESF!B22*-1)</f>
        <v>400359.9</v>
      </c>
      <c r="G97" s="397">
        <f t="shared" si="8"/>
        <v>0</v>
      </c>
      <c r="H97" s="122" t="s">
        <v>273</v>
      </c>
      <c r="I97" s="384">
        <f>IF(EAA!B19&gt;0,EAA!B19,EAA!B19*-1)</f>
        <v>626158.56000000006</v>
      </c>
      <c r="J97" s="94" t="s">
        <v>272</v>
      </c>
      <c r="K97" s="384">
        <f>IF(ESF!C22&gt;0,ESF!C22,ESF!C22*-1)</f>
        <v>626158.56000000006</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14852700.930000007</v>
      </c>
      <c r="E100" s="131" t="s">
        <v>288</v>
      </c>
      <c r="F100" s="133">
        <f>IF(CSF!$B5&gt;0,CSF!$B5,CSF!$C5)</f>
        <v>14852700.93</v>
      </c>
      <c r="G100" s="408">
        <f>ROUND(D100-F100,2)</f>
        <v>0</v>
      </c>
      <c r="H100" s="437"/>
      <c r="I100" s="438"/>
      <c r="J100" s="438"/>
      <c r="K100" s="134"/>
      <c r="L100" s="135"/>
      <c r="M100" s="162" t="s">
        <v>160</v>
      </c>
    </row>
    <row r="101" spans="1:13" x14ac:dyDescent="0.2">
      <c r="A101" s="67"/>
      <c r="B101" s="169" t="s">
        <v>162</v>
      </c>
      <c r="C101" s="122" t="s">
        <v>273</v>
      </c>
      <c r="D101" s="401">
        <f>IF(EAA!F6&gt;0,EAA!F6,EAA!F6*-1)</f>
        <v>158858.54000001308</v>
      </c>
      <c r="E101" s="94" t="s">
        <v>288</v>
      </c>
      <c r="F101" s="123">
        <f>IF(CSF!$B6&gt;0,CSF!$B6,CSF!$C6)</f>
        <v>158858.54</v>
      </c>
      <c r="G101" s="397">
        <f>ROUND(D101-F101,2)</f>
        <v>0</v>
      </c>
      <c r="H101" s="437"/>
      <c r="I101" s="438"/>
      <c r="J101" s="438"/>
      <c r="K101" s="134"/>
      <c r="L101" s="135"/>
      <c r="M101" s="162" t="s">
        <v>162</v>
      </c>
    </row>
    <row r="102" spans="1:13" x14ac:dyDescent="0.2">
      <c r="A102" s="67"/>
      <c r="B102" s="169" t="s">
        <v>164</v>
      </c>
      <c r="C102" s="122" t="s">
        <v>273</v>
      </c>
      <c r="D102" s="401">
        <f>IF(EAA!F7&gt;0,EAA!F7,EAA!F7*-1)</f>
        <v>566414.1999999996</v>
      </c>
      <c r="E102" s="94" t="s">
        <v>288</v>
      </c>
      <c r="F102" s="123">
        <f>IF(CSF!$B7&gt;0,CSF!$B7,CSF!$C7)</f>
        <v>566414.19999999995</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2033626.8199999994</v>
      </c>
      <c r="E104" s="94" t="s">
        <v>288</v>
      </c>
      <c r="F104" s="123">
        <f>IF(CSF!$B9&gt;0,CSF!$B9,CSF!$C9)</f>
        <v>2033626.82</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6814183.380000025</v>
      </c>
      <c r="E109" s="94" t="s">
        <v>288</v>
      </c>
      <c r="F109" s="123">
        <f>IF(CSF!$B16&gt;0,CSF!$B16,CSF!$C16)</f>
        <v>6814183.3799999999</v>
      </c>
      <c r="G109" s="397">
        <f t="shared" si="9"/>
        <v>0</v>
      </c>
      <c r="H109" s="437"/>
      <c r="I109" s="438"/>
      <c r="J109" s="438"/>
      <c r="K109" s="134"/>
      <c r="L109" s="135"/>
      <c r="M109" s="162" t="s">
        <v>182</v>
      </c>
    </row>
    <row r="110" spans="1:13" x14ac:dyDescent="0.2">
      <c r="A110" s="67"/>
      <c r="B110" s="169" t="s">
        <v>184</v>
      </c>
      <c r="C110" s="122" t="s">
        <v>273</v>
      </c>
      <c r="D110" s="401">
        <f>IF(EAA!F16&gt;0,EAA!F16,EAA!F16*-1)</f>
        <v>1290096.4199999981</v>
      </c>
      <c r="E110" s="94" t="s">
        <v>288</v>
      </c>
      <c r="F110" s="123">
        <f>IF(CSF!$B17&gt;0,CSF!$B17,CSF!$C17)</f>
        <v>1290096.42</v>
      </c>
      <c r="G110" s="397">
        <f t="shared" si="9"/>
        <v>0</v>
      </c>
      <c r="H110" s="437"/>
      <c r="I110" s="438"/>
      <c r="J110" s="438"/>
      <c r="K110" s="134"/>
      <c r="L110" s="135"/>
      <c r="M110" s="162" t="s">
        <v>184</v>
      </c>
    </row>
    <row r="111" spans="1:13" x14ac:dyDescent="0.2">
      <c r="A111" s="67"/>
      <c r="B111" s="169" t="s">
        <v>186</v>
      </c>
      <c r="C111" s="122" t="s">
        <v>273</v>
      </c>
      <c r="D111" s="401">
        <f>IF(EAA!F17&gt;0,EAA!F17,EAA!F17*-1)</f>
        <v>152289</v>
      </c>
      <c r="E111" s="94" t="s">
        <v>288</v>
      </c>
      <c r="F111" s="123">
        <f>IF(CSF!$B18&gt;0,CSF!$B18,CSF!$C18)</f>
        <v>152289</v>
      </c>
      <c r="G111" s="397">
        <f t="shared" si="9"/>
        <v>0</v>
      </c>
      <c r="H111" s="437"/>
      <c r="I111" s="438"/>
      <c r="J111" s="438"/>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x14ac:dyDescent="0.2">
      <c r="A113" s="67"/>
      <c r="B113" s="169" t="s">
        <v>190</v>
      </c>
      <c r="C113" s="122" t="s">
        <v>273</v>
      </c>
      <c r="D113" s="401">
        <f>IF(EAA!F19&gt;0,EAA!F19,EAA!F19*-1)</f>
        <v>225798.66000000003</v>
      </c>
      <c r="E113" s="94" t="s">
        <v>288</v>
      </c>
      <c r="F113" s="123">
        <f>IF(CSF!$B20&gt;0,CSF!$B20,CSF!$C20)</f>
        <v>225798.66</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3013777.09</v>
      </c>
      <c r="E116" s="91" t="s">
        <v>272</v>
      </c>
      <c r="F116" s="370">
        <f>IF(ESF!E26&gt;0,ESF!E26,ESF!E26*-1)</f>
        <v>3013777.09</v>
      </c>
      <c r="G116" s="395">
        <f>ROUND(D116-F116,2)</f>
        <v>0</v>
      </c>
      <c r="H116" s="90" t="s">
        <v>287</v>
      </c>
      <c r="I116" s="381">
        <f>IF(ADP!D34&gt;0,ADP!D34,ADP!D34*-1)</f>
        <v>2189204.9</v>
      </c>
      <c r="J116" s="91" t="s">
        <v>272</v>
      </c>
      <c r="K116" s="381">
        <f>IF(ESF!F26&gt;0,ESF!F26,ESF!F26*-1)</f>
        <v>2189204.9</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694</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5" customHeight="1" x14ac:dyDescent="0.2">
      <c r="A5" s="355" t="s">
        <v>642</v>
      </c>
      <c r="B5" s="356"/>
      <c r="C5" s="357">
        <f>C6+C7</f>
        <v>100310830</v>
      </c>
      <c r="D5" s="357">
        <f>D6+D7</f>
        <v>69210746.530000001</v>
      </c>
      <c r="E5" s="357">
        <f>E6+E7</f>
        <v>69194321.659999996</v>
      </c>
    </row>
    <row r="6" spans="1:5" ht="12.95" customHeight="1" x14ac:dyDescent="0.2">
      <c r="A6" s="358"/>
      <c r="B6" s="359" t="s">
        <v>643</v>
      </c>
      <c r="C6" s="360"/>
      <c r="D6" s="360"/>
      <c r="E6" s="360"/>
    </row>
    <row r="7" spans="1:5" ht="12.95" customHeight="1" x14ac:dyDescent="0.2">
      <c r="A7" s="358"/>
      <c r="B7" s="359" t="s">
        <v>644</v>
      </c>
      <c r="C7" s="360">
        <v>100310830</v>
      </c>
      <c r="D7" s="360">
        <v>69210746.530000001</v>
      </c>
      <c r="E7" s="360">
        <v>69194321.659999996</v>
      </c>
    </row>
    <row r="8" spans="1:5" x14ac:dyDescent="0.2">
      <c r="A8" s="358"/>
      <c r="B8" s="361"/>
      <c r="C8" s="360"/>
      <c r="D8" s="360"/>
      <c r="E8" s="360"/>
    </row>
    <row r="9" spans="1:5" ht="12.95" customHeight="1" x14ac:dyDescent="0.2">
      <c r="A9" s="355" t="s">
        <v>645</v>
      </c>
      <c r="B9" s="356"/>
      <c r="C9" s="357">
        <f>C10+C11</f>
        <v>100310830</v>
      </c>
      <c r="D9" s="357">
        <f>D10+D11</f>
        <v>83487747.150000006</v>
      </c>
      <c r="E9" s="357">
        <f>E10+E11</f>
        <v>81718522.170000002</v>
      </c>
    </row>
    <row r="10" spans="1:5" ht="12.95" customHeight="1" x14ac:dyDescent="0.2">
      <c r="A10" s="358"/>
      <c r="B10" s="359" t="s">
        <v>646</v>
      </c>
      <c r="C10" s="360"/>
      <c r="D10" s="360"/>
      <c r="E10" s="360"/>
    </row>
    <row r="11" spans="1:5" ht="12.95" customHeight="1" x14ac:dyDescent="0.2">
      <c r="A11" s="358"/>
      <c r="B11" s="359" t="s">
        <v>647</v>
      </c>
      <c r="C11" s="360">
        <v>100310830</v>
      </c>
      <c r="D11" s="360">
        <v>83487747.150000006</v>
      </c>
      <c r="E11" s="360">
        <v>81718522.170000002</v>
      </c>
    </row>
    <row r="12" spans="1:5" x14ac:dyDescent="0.2">
      <c r="A12" s="358"/>
      <c r="B12" s="361"/>
      <c r="C12" s="360"/>
      <c r="D12" s="360"/>
      <c r="E12" s="360"/>
    </row>
    <row r="13" spans="1:5" ht="12.95" customHeight="1" x14ac:dyDescent="0.2">
      <c r="A13" s="355" t="s">
        <v>648</v>
      </c>
      <c r="B13" s="356"/>
      <c r="C13" s="357">
        <f>C5-C9</f>
        <v>0</v>
      </c>
      <c r="D13" s="357">
        <f>D5-D9</f>
        <v>-14277000.620000005</v>
      </c>
      <c r="E13" s="357">
        <f>E5-E9</f>
        <v>-12524200.510000005</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5" customHeight="1" x14ac:dyDescent="0.2">
      <c r="A17" s="355" t="s">
        <v>649</v>
      </c>
      <c r="B17" s="356"/>
      <c r="C17" s="357">
        <f>C13</f>
        <v>0</v>
      </c>
      <c r="D17" s="357">
        <f>D13</f>
        <v>-14277000.620000005</v>
      </c>
      <c r="E17" s="357">
        <f>E13</f>
        <v>-12524200.510000005</v>
      </c>
    </row>
    <row r="18" spans="1:5" x14ac:dyDescent="0.2">
      <c r="A18" s="358"/>
      <c r="B18" s="359"/>
      <c r="C18" s="357"/>
      <c r="D18" s="357"/>
      <c r="E18" s="357"/>
    </row>
    <row r="19" spans="1:5" ht="12.95" customHeight="1" x14ac:dyDescent="0.2">
      <c r="A19" s="355" t="s">
        <v>650</v>
      </c>
      <c r="B19" s="356"/>
      <c r="C19" s="360">
        <v>0</v>
      </c>
      <c r="D19" s="360">
        <v>0</v>
      </c>
      <c r="E19" s="360">
        <v>0</v>
      </c>
    </row>
    <row r="20" spans="1:5" x14ac:dyDescent="0.2">
      <c r="A20" s="358"/>
      <c r="B20" s="359"/>
      <c r="C20" s="360"/>
      <c r="D20" s="360"/>
      <c r="E20" s="360"/>
    </row>
    <row r="21" spans="1:5" ht="12.95" customHeight="1" x14ac:dyDescent="0.2">
      <c r="A21" s="355" t="s">
        <v>651</v>
      </c>
      <c r="B21" s="356"/>
      <c r="C21" s="357">
        <f>C17+C19</f>
        <v>0</v>
      </c>
      <c r="D21" s="357">
        <f>D17+D19</f>
        <v>-14277000.620000005</v>
      </c>
      <c r="E21" s="357">
        <f>E17+E19</f>
        <v>-12524200.510000005</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5" customHeight="1" x14ac:dyDescent="0.2">
      <c r="A25" s="355" t="s">
        <v>652</v>
      </c>
      <c r="B25" s="356"/>
      <c r="C25" s="360"/>
      <c r="D25" s="360"/>
      <c r="E25" s="360"/>
    </row>
    <row r="26" spans="1:5" x14ac:dyDescent="0.2">
      <c r="A26" s="358"/>
      <c r="B26" s="359"/>
      <c r="C26" s="360"/>
      <c r="D26" s="360"/>
      <c r="E26" s="360"/>
    </row>
    <row r="27" spans="1:5" ht="12.95" customHeight="1" x14ac:dyDescent="0.2">
      <c r="A27" s="355" t="s">
        <v>653</v>
      </c>
      <c r="B27" s="356"/>
      <c r="C27" s="360"/>
      <c r="D27" s="360"/>
      <c r="E27" s="360"/>
    </row>
    <row r="28" spans="1:5" x14ac:dyDescent="0.2">
      <c r="A28" s="358"/>
      <c r="B28" s="359"/>
      <c r="C28" s="360"/>
      <c r="D28" s="360"/>
      <c r="E28" s="360"/>
    </row>
    <row r="29" spans="1:5" ht="12.95"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673</v>
      </c>
      <c r="B1" s="436"/>
      <c r="C1" s="436"/>
      <c r="D1" s="436"/>
      <c r="E1" s="436"/>
      <c r="F1" s="436"/>
      <c r="G1" s="436"/>
      <c r="H1" s="199" t="s">
        <v>0</v>
      </c>
      <c r="I1" s="367">
        <v>2025</v>
      </c>
    </row>
    <row r="2" spans="1:12" ht="14.45" customHeight="1" x14ac:dyDescent="0.2">
      <c r="A2" s="436" t="s">
        <v>655</v>
      </c>
      <c r="B2" s="436"/>
      <c r="C2" s="436"/>
      <c r="D2" s="436"/>
      <c r="E2" s="436"/>
      <c r="F2" s="436"/>
      <c r="G2" s="436"/>
      <c r="H2" s="200" t="s">
        <v>2</v>
      </c>
      <c r="I2" s="201" t="s">
        <v>3</v>
      </c>
    </row>
    <row r="3" spans="1:12" ht="14.45" customHeight="1" x14ac:dyDescent="0.2">
      <c r="A3" s="436" t="s">
        <v>674</v>
      </c>
      <c r="B3" s="436"/>
      <c r="C3" s="436"/>
      <c r="D3" s="436"/>
      <c r="E3" s="436"/>
      <c r="F3" s="436"/>
      <c r="G3" s="436"/>
      <c r="H3" s="202" t="s">
        <v>4</v>
      </c>
      <c r="I3" s="203">
        <v>3</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100310830</v>
      </c>
      <c r="F7" s="207" t="s">
        <v>328</v>
      </c>
      <c r="G7" s="207" t="s">
        <v>329</v>
      </c>
      <c r="H7" s="208">
        <f>+Memoria!C41</f>
        <v>100310830</v>
      </c>
      <c r="I7" s="209">
        <f>ROUND(E7-H7,2)</f>
        <v>0</v>
      </c>
    </row>
    <row r="8" spans="1:12" ht="22.5" x14ac:dyDescent="0.2">
      <c r="A8" s="210" t="s">
        <v>293</v>
      </c>
      <c r="B8" s="5" t="s">
        <v>330</v>
      </c>
      <c r="C8" s="211" t="s">
        <v>326</v>
      </c>
      <c r="D8" s="211" t="s">
        <v>331</v>
      </c>
      <c r="E8" s="212">
        <f>+EAI!C15</f>
        <v>1039905</v>
      </c>
      <c r="F8" s="211" t="s">
        <v>328</v>
      </c>
      <c r="G8" s="211" t="s">
        <v>332</v>
      </c>
      <c r="H8" s="212">
        <f>+Memoria!C43</f>
        <v>1039905</v>
      </c>
      <c r="I8" s="213">
        <f>ROUND(E8-H8,2)</f>
        <v>0</v>
      </c>
    </row>
    <row r="9" spans="1:12" x14ac:dyDescent="0.2">
      <c r="A9" s="210" t="s">
        <v>295</v>
      </c>
      <c r="B9" s="5" t="s">
        <v>333</v>
      </c>
      <c r="C9" s="211" t="s">
        <v>326</v>
      </c>
      <c r="D9" s="211" t="s">
        <v>334</v>
      </c>
      <c r="E9" s="212">
        <f>+EAI!E15</f>
        <v>69210746.530000001</v>
      </c>
      <c r="F9" s="211" t="s">
        <v>328</v>
      </c>
      <c r="G9" s="211" t="s">
        <v>335</v>
      </c>
      <c r="H9" s="212">
        <f>+Memoria!C44+Memoria!C45</f>
        <v>-69210746.530000001</v>
      </c>
      <c r="I9" s="213">
        <f>ROUND(E9+H9,2)</f>
        <v>0</v>
      </c>
    </row>
    <row r="10" spans="1:12" ht="12" thickBot="1" x14ac:dyDescent="0.25">
      <c r="A10" s="210" t="s">
        <v>297</v>
      </c>
      <c r="B10" s="5" t="s">
        <v>336</v>
      </c>
      <c r="C10" s="211" t="s">
        <v>326</v>
      </c>
      <c r="D10" s="211" t="s">
        <v>337</v>
      </c>
      <c r="E10" s="212">
        <f>+EAI!F15</f>
        <v>69194321.659999996</v>
      </c>
      <c r="F10" s="211" t="s">
        <v>328</v>
      </c>
      <c r="G10" s="211" t="s">
        <v>338</v>
      </c>
      <c r="H10" s="212">
        <f>+Memoria!C45</f>
        <v>-69194321.659999996</v>
      </c>
      <c r="I10" s="213">
        <f>ROUND(E10+H10,2)</f>
        <v>0</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+CA!B19</f>
        <v>100310830</v>
      </c>
      <c r="F12" s="211" t="s">
        <v>328</v>
      </c>
      <c r="G12" s="211" t="s">
        <v>342</v>
      </c>
      <c r="H12" s="212">
        <f>+Memoria!C50</f>
        <v>-100310830</v>
      </c>
      <c r="I12" s="213">
        <f>+ROUND(E12+H12,2)</f>
        <v>0</v>
      </c>
      <c r="L12" s="465"/>
    </row>
    <row r="13" spans="1:12" ht="22.5" x14ac:dyDescent="0.2">
      <c r="A13" s="210" t="s">
        <v>302</v>
      </c>
      <c r="B13" s="5" t="s">
        <v>343</v>
      </c>
      <c r="C13" s="211" t="s">
        <v>340</v>
      </c>
      <c r="D13" s="211" t="s">
        <v>331</v>
      </c>
      <c r="E13" s="212">
        <f>+CA!C19</f>
        <v>9747281.9099999983</v>
      </c>
      <c r="F13" s="211" t="s">
        <v>328</v>
      </c>
      <c r="G13" s="211" t="s">
        <v>344</v>
      </c>
      <c r="H13" s="212">
        <f>+Memoria!C52</f>
        <v>-9747281.9100000001</v>
      </c>
      <c r="I13" s="213">
        <f>+ROUND(E13+H13,2)</f>
        <v>0</v>
      </c>
    </row>
    <row r="14" spans="1:12" x14ac:dyDescent="0.2">
      <c r="A14" s="210" t="s">
        <v>304</v>
      </c>
      <c r="B14" s="5" t="s">
        <v>345</v>
      </c>
      <c r="C14" s="211" t="s">
        <v>340</v>
      </c>
      <c r="D14" s="211" t="s">
        <v>334</v>
      </c>
      <c r="E14" s="212">
        <f>+CA!E19</f>
        <v>83487747.149999991</v>
      </c>
      <c r="F14" s="211" t="s">
        <v>328</v>
      </c>
      <c r="G14" s="211" t="s">
        <v>657</v>
      </c>
      <c r="H14" s="212">
        <f>+Memoria!C54+Memoria!C55+Memoria!C56</f>
        <v>83487747.150000006</v>
      </c>
      <c r="I14" s="213">
        <f>ROUND(E14-H14,2)</f>
        <v>0</v>
      </c>
    </row>
    <row r="15" spans="1:12" x14ac:dyDescent="0.2">
      <c r="A15" s="210" t="s">
        <v>306</v>
      </c>
      <c r="B15" s="5" t="s">
        <v>346</v>
      </c>
      <c r="C15" s="211" t="s">
        <v>340</v>
      </c>
      <c r="D15" s="211" t="s">
        <v>347</v>
      </c>
      <c r="E15" s="212">
        <f>+CA!F19</f>
        <v>81718522.169999987</v>
      </c>
      <c r="F15" s="211" t="s">
        <v>328</v>
      </c>
      <c r="G15" s="211">
        <v>8.25</v>
      </c>
      <c r="H15" s="212">
        <f>+Memoria!C56</f>
        <v>81718522.170000002</v>
      </c>
      <c r="I15" s="213">
        <f>ROUND(E15-H15,2)</f>
        <v>0</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100310830</v>
      </c>
      <c r="F17" s="211" t="s">
        <v>328</v>
      </c>
      <c r="G17" s="211" t="s">
        <v>342</v>
      </c>
      <c r="H17" s="212">
        <f>+Memoria!C50</f>
        <v>-100310830</v>
      </c>
      <c r="I17" s="213">
        <f>+ROUND(E17+H17,2)</f>
        <v>0</v>
      </c>
    </row>
    <row r="18" spans="1:9" ht="22.5" x14ac:dyDescent="0.2">
      <c r="A18" s="210" t="s">
        <v>302</v>
      </c>
      <c r="B18" s="5" t="s">
        <v>350</v>
      </c>
      <c r="C18" s="211" t="s">
        <v>349</v>
      </c>
      <c r="D18" s="211" t="s">
        <v>331</v>
      </c>
      <c r="E18" s="212">
        <f>+CTG!C15</f>
        <v>9747281.9099999983</v>
      </c>
      <c r="F18" s="211" t="s">
        <v>328</v>
      </c>
      <c r="G18" s="211" t="s">
        <v>344</v>
      </c>
      <c r="H18" s="212">
        <f>+Memoria!C52</f>
        <v>-9747281.9100000001</v>
      </c>
      <c r="I18" s="213">
        <f>+ROUND(E18+H18,2)</f>
        <v>0</v>
      </c>
    </row>
    <row r="19" spans="1:9" x14ac:dyDescent="0.2">
      <c r="A19" s="210" t="s">
        <v>304</v>
      </c>
      <c r="B19" s="5" t="s">
        <v>351</v>
      </c>
      <c r="C19" s="211" t="s">
        <v>349</v>
      </c>
      <c r="D19" s="211" t="s">
        <v>334</v>
      </c>
      <c r="E19" s="212">
        <f>+CTG!E15</f>
        <v>83487747.149999991</v>
      </c>
      <c r="F19" s="211" t="s">
        <v>328</v>
      </c>
      <c r="G19" s="211" t="s">
        <v>657</v>
      </c>
      <c r="H19" s="212">
        <f>+Memoria!C54+Memoria!C55+Memoria!C56</f>
        <v>83487747.150000006</v>
      </c>
      <c r="I19" s="213">
        <f>+ROUND(E19-H19,2)</f>
        <v>0</v>
      </c>
    </row>
    <row r="20" spans="1:9" x14ac:dyDescent="0.2">
      <c r="A20" s="210" t="s">
        <v>306</v>
      </c>
      <c r="B20" s="5" t="s">
        <v>352</v>
      </c>
      <c r="C20" s="211" t="s">
        <v>349</v>
      </c>
      <c r="D20" s="211" t="s">
        <v>347</v>
      </c>
      <c r="E20" s="212">
        <f>+CTG!F15</f>
        <v>81718522.170000002</v>
      </c>
      <c r="F20" s="211" t="s">
        <v>328</v>
      </c>
      <c r="G20" s="211">
        <v>8.25</v>
      </c>
      <c r="H20" s="212">
        <f>+Memoria!C56</f>
        <v>81718522.170000002</v>
      </c>
      <c r="I20" s="213">
        <f>+ROUND(E20-H20,2)</f>
        <v>0</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100310830</v>
      </c>
      <c r="F22" s="211" t="s">
        <v>328</v>
      </c>
      <c r="G22" s="211" t="s">
        <v>342</v>
      </c>
      <c r="H22" s="212">
        <f>+Memoria!C50</f>
        <v>-100310830</v>
      </c>
      <c r="I22" s="213">
        <f>+ROUND(E22+H22,2)</f>
        <v>0</v>
      </c>
    </row>
    <row r="23" spans="1:9" ht="22.5" x14ac:dyDescent="0.2">
      <c r="A23" s="210" t="s">
        <v>302</v>
      </c>
      <c r="B23" s="5" t="s">
        <v>355</v>
      </c>
      <c r="C23" s="211" t="s">
        <v>354</v>
      </c>
      <c r="D23" s="211" t="s">
        <v>331</v>
      </c>
      <c r="E23" s="212">
        <f>+COG!C76</f>
        <v>9747281.9100000001</v>
      </c>
      <c r="F23" s="211" t="s">
        <v>328</v>
      </c>
      <c r="G23" s="211" t="s">
        <v>344</v>
      </c>
      <c r="H23" s="212">
        <f>+Memoria!C52</f>
        <v>-9747281.9100000001</v>
      </c>
      <c r="I23" s="213">
        <f>+ROUND(E23+H23,2)</f>
        <v>0</v>
      </c>
    </row>
    <row r="24" spans="1:9" x14ac:dyDescent="0.2">
      <c r="A24" s="210" t="s">
        <v>304</v>
      </c>
      <c r="B24" s="5" t="s">
        <v>356</v>
      </c>
      <c r="C24" s="211" t="s">
        <v>354</v>
      </c>
      <c r="D24" s="211" t="s">
        <v>334</v>
      </c>
      <c r="E24" s="212">
        <f>+COG!E76</f>
        <v>83487747.149999991</v>
      </c>
      <c r="F24" s="211" t="s">
        <v>328</v>
      </c>
      <c r="G24" s="211" t="s">
        <v>657</v>
      </c>
      <c r="H24" s="212">
        <f>+Memoria!C54+Memoria!C55+Memoria!C56</f>
        <v>83487747.150000006</v>
      </c>
      <c r="I24" s="213">
        <f>+ROUND(E24-H24,2)</f>
        <v>0</v>
      </c>
    </row>
    <row r="25" spans="1:9" x14ac:dyDescent="0.2">
      <c r="A25" s="210" t="s">
        <v>306</v>
      </c>
      <c r="B25" s="5" t="s">
        <v>357</v>
      </c>
      <c r="C25" s="211" t="s">
        <v>354</v>
      </c>
      <c r="D25" s="211" t="s">
        <v>347</v>
      </c>
      <c r="E25" s="212">
        <f>+COG!F76</f>
        <v>81718522.170000002</v>
      </c>
      <c r="F25" s="211" t="s">
        <v>328</v>
      </c>
      <c r="G25" s="211">
        <v>8.25</v>
      </c>
      <c r="H25" s="212">
        <f>+Memoria!C56</f>
        <v>81718522.170000002</v>
      </c>
      <c r="I25" s="213">
        <f>+ROUND(E25-H25,2)</f>
        <v>0</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100310830</v>
      </c>
      <c r="F27" s="211" t="s">
        <v>328</v>
      </c>
      <c r="G27" s="211" t="s">
        <v>342</v>
      </c>
      <c r="H27" s="212">
        <f>+Memoria!C50</f>
        <v>-100310830</v>
      </c>
      <c r="I27" s="213">
        <f>+ROUND(E27+H27,2)</f>
        <v>0</v>
      </c>
    </row>
    <row r="28" spans="1:9" ht="22.5" x14ac:dyDescent="0.2">
      <c r="A28" s="210" t="s">
        <v>302</v>
      </c>
      <c r="B28" s="5" t="s">
        <v>360</v>
      </c>
      <c r="C28" s="211" t="s">
        <v>359</v>
      </c>
      <c r="D28" s="211" t="s">
        <v>331</v>
      </c>
      <c r="E28" s="212">
        <f>+CFG!C41</f>
        <v>9747281.9100000001</v>
      </c>
      <c r="F28" s="211" t="s">
        <v>328</v>
      </c>
      <c r="G28" s="211" t="s">
        <v>344</v>
      </c>
      <c r="H28" s="212">
        <f>+Memoria!C52</f>
        <v>-9747281.9100000001</v>
      </c>
      <c r="I28" s="213">
        <f>+ROUND(E28+H28,2)</f>
        <v>0</v>
      </c>
    </row>
    <row r="29" spans="1:9" x14ac:dyDescent="0.2">
      <c r="A29" s="210" t="s">
        <v>304</v>
      </c>
      <c r="B29" s="5" t="s">
        <v>361</v>
      </c>
      <c r="C29" s="211" t="s">
        <v>359</v>
      </c>
      <c r="D29" s="211" t="s">
        <v>334</v>
      </c>
      <c r="E29" s="212">
        <f>+CFG!E41</f>
        <v>83487747.150000006</v>
      </c>
      <c r="F29" s="211" t="s">
        <v>328</v>
      </c>
      <c r="G29" s="211" t="s">
        <v>657</v>
      </c>
      <c r="H29" s="212">
        <f>+Memoria!C54+Memoria!C55+Memoria!C56</f>
        <v>83487747.150000006</v>
      </c>
      <c r="I29" s="213">
        <f>+ROUND(E29-H29,2)</f>
        <v>0</v>
      </c>
    </row>
    <row r="30" spans="1:9" x14ac:dyDescent="0.2">
      <c r="A30" s="210" t="s">
        <v>306</v>
      </c>
      <c r="B30" s="5" t="s">
        <v>362</v>
      </c>
      <c r="C30" s="211" t="s">
        <v>359</v>
      </c>
      <c r="D30" s="211" t="s">
        <v>347</v>
      </c>
      <c r="E30" s="212">
        <f>+CFG!F41</f>
        <v>81718522.170000002</v>
      </c>
      <c r="F30" s="211" t="s">
        <v>328</v>
      </c>
      <c r="G30" s="211">
        <v>8.25</v>
      </c>
      <c r="H30" s="212">
        <f>+Memoria!C56</f>
        <v>81718522.170000002</v>
      </c>
      <c r="I30" s="213">
        <f>+ROUND(E30-H30,2)</f>
        <v>0</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100310830</v>
      </c>
      <c r="F39" s="211" t="s">
        <v>328</v>
      </c>
      <c r="G39" s="211" t="s">
        <v>342</v>
      </c>
      <c r="H39" s="212">
        <f>+Memoria!C50</f>
        <v>-100310830</v>
      </c>
      <c r="I39" s="213">
        <f>+ROUND(E39+H39,2)</f>
        <v>0</v>
      </c>
    </row>
    <row r="40" spans="1:9" ht="22.5" x14ac:dyDescent="0.2">
      <c r="A40" s="210" t="s">
        <v>315</v>
      </c>
      <c r="B40" s="65" t="s">
        <v>380</v>
      </c>
      <c r="C40" s="211" t="s">
        <v>379</v>
      </c>
      <c r="D40" s="211" t="s">
        <v>331</v>
      </c>
      <c r="E40" s="212">
        <f>+GCP!C36</f>
        <v>9747281.9100000001</v>
      </c>
      <c r="F40" s="211" t="s">
        <v>328</v>
      </c>
      <c r="G40" s="211" t="s">
        <v>344</v>
      </c>
      <c r="H40" s="212">
        <f>+Memoria!C52</f>
        <v>-9747281.9100000001</v>
      </c>
      <c r="I40" s="213">
        <f>+ROUND(E40+H40,2)</f>
        <v>0</v>
      </c>
    </row>
    <row r="41" spans="1:9" x14ac:dyDescent="0.2">
      <c r="A41" s="210" t="s">
        <v>316</v>
      </c>
      <c r="B41" s="65" t="s">
        <v>381</v>
      </c>
      <c r="C41" s="211" t="s">
        <v>379</v>
      </c>
      <c r="D41" s="211" t="s">
        <v>334</v>
      </c>
      <c r="E41" s="212">
        <f>+GCP!E36</f>
        <v>83487747.150000006</v>
      </c>
      <c r="F41" s="211" t="s">
        <v>328</v>
      </c>
      <c r="G41" s="211" t="s">
        <v>657</v>
      </c>
      <c r="H41" s="212">
        <f>+Memoria!C54+Memoria!C55+Memoria!C56</f>
        <v>83487747.150000006</v>
      </c>
      <c r="I41" s="213">
        <f t="shared" ref="I41:I42" si="0">ROUND(E41-H41,2)</f>
        <v>0</v>
      </c>
    </row>
    <row r="42" spans="1:9" x14ac:dyDescent="0.2">
      <c r="A42" s="210" t="s">
        <v>317</v>
      </c>
      <c r="B42" s="65" t="s">
        <v>382</v>
      </c>
      <c r="C42" s="211" t="s">
        <v>379</v>
      </c>
      <c r="D42" s="211" t="s">
        <v>347</v>
      </c>
      <c r="E42" s="212">
        <f>+GCP!F36</f>
        <v>81718522.170000002</v>
      </c>
      <c r="F42" s="211" t="s">
        <v>328</v>
      </c>
      <c r="G42" s="211">
        <v>8.25</v>
      </c>
      <c r="H42" s="212">
        <f>+Memoria!C56</f>
        <v>81718522.170000002</v>
      </c>
      <c r="I42" s="213">
        <f t="shared" si="0"/>
        <v>0</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100310830</v>
      </c>
      <c r="F44" s="211" t="s">
        <v>340</v>
      </c>
      <c r="G44" s="211" t="s">
        <v>341</v>
      </c>
      <c r="H44" s="212">
        <f>+CA!B19</f>
        <v>100310830</v>
      </c>
      <c r="I44" s="213">
        <f>+ROUND(E44-H44,2)</f>
        <v>0</v>
      </c>
    </row>
    <row r="45" spans="1:9" ht="22.5" x14ac:dyDescent="0.2">
      <c r="A45" s="210" t="s">
        <v>315</v>
      </c>
      <c r="B45" s="65" t="s">
        <v>384</v>
      </c>
      <c r="C45" s="211" t="s">
        <v>379</v>
      </c>
      <c r="D45" s="211" t="s">
        <v>331</v>
      </c>
      <c r="E45" s="212">
        <f>+GCP!C36</f>
        <v>9747281.9100000001</v>
      </c>
      <c r="F45" s="211" t="s">
        <v>340</v>
      </c>
      <c r="G45" s="211" t="s">
        <v>331</v>
      </c>
      <c r="H45" s="212">
        <f>+CA!C19</f>
        <v>9747281.9099999983</v>
      </c>
      <c r="I45" s="213">
        <f>+ROUND(E45-H45,2)</f>
        <v>0</v>
      </c>
    </row>
    <row r="46" spans="1:9" x14ac:dyDescent="0.2">
      <c r="A46" s="210" t="s">
        <v>316</v>
      </c>
      <c r="B46" s="65" t="s">
        <v>385</v>
      </c>
      <c r="C46" s="211" t="s">
        <v>379</v>
      </c>
      <c r="D46" s="211" t="s">
        <v>334</v>
      </c>
      <c r="E46" s="212">
        <f>+GCP!E36</f>
        <v>83487747.150000006</v>
      </c>
      <c r="F46" s="211" t="s">
        <v>340</v>
      </c>
      <c r="G46" s="211" t="s">
        <v>334</v>
      </c>
      <c r="H46" s="212">
        <f>+CA!E19</f>
        <v>83487747.149999991</v>
      </c>
      <c r="I46" s="213">
        <f>ROUND(E46-H46,2)</f>
        <v>0</v>
      </c>
    </row>
    <row r="47" spans="1:9" x14ac:dyDescent="0.2">
      <c r="A47" s="210" t="s">
        <v>317</v>
      </c>
      <c r="B47" s="65" t="s">
        <v>386</v>
      </c>
      <c r="C47" s="211" t="s">
        <v>379</v>
      </c>
      <c r="D47" s="211" t="s">
        <v>347</v>
      </c>
      <c r="E47" s="212">
        <f>+GCP!F36</f>
        <v>81718522.170000002</v>
      </c>
      <c r="F47" s="211" t="s">
        <v>340</v>
      </c>
      <c r="G47" s="211" t="s">
        <v>347</v>
      </c>
      <c r="H47" s="212">
        <f>+CA!F19</f>
        <v>81718522.169999987</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100310830</v>
      </c>
      <c r="F49" s="211" t="s">
        <v>349</v>
      </c>
      <c r="G49" s="211" t="s">
        <v>341</v>
      </c>
      <c r="H49" s="212">
        <f>+CTG!B15</f>
        <v>100310830</v>
      </c>
      <c r="I49" s="213">
        <f>+ROUND(E49-H49,2)</f>
        <v>0</v>
      </c>
    </row>
    <row r="50" spans="1:9" ht="22.5" x14ac:dyDescent="0.2">
      <c r="A50" s="210" t="s">
        <v>315</v>
      </c>
      <c r="B50" s="65" t="s">
        <v>388</v>
      </c>
      <c r="C50" s="211" t="s">
        <v>379</v>
      </c>
      <c r="D50" s="211" t="s">
        <v>331</v>
      </c>
      <c r="E50" s="212">
        <f>+GCP!C36</f>
        <v>9747281.9100000001</v>
      </c>
      <c r="F50" s="211" t="s">
        <v>349</v>
      </c>
      <c r="G50" s="211" t="s">
        <v>331</v>
      </c>
      <c r="H50" s="212">
        <f>+CTG!C15</f>
        <v>9747281.9099999983</v>
      </c>
      <c r="I50" s="213">
        <f>+ROUND(E50-H50,2)</f>
        <v>0</v>
      </c>
    </row>
    <row r="51" spans="1:9" x14ac:dyDescent="0.2">
      <c r="A51" s="210" t="s">
        <v>316</v>
      </c>
      <c r="B51" s="65" t="s">
        <v>389</v>
      </c>
      <c r="C51" s="211" t="s">
        <v>379</v>
      </c>
      <c r="D51" s="211" t="s">
        <v>334</v>
      </c>
      <c r="E51" s="212">
        <f>+GCP!E36</f>
        <v>83487747.150000006</v>
      </c>
      <c r="F51" s="211" t="s">
        <v>349</v>
      </c>
      <c r="G51" s="211" t="s">
        <v>334</v>
      </c>
      <c r="H51" s="212">
        <f>+CTG!E15</f>
        <v>83487747.149999991</v>
      </c>
      <c r="I51" s="213">
        <f>ROUND(E51-H51,2)</f>
        <v>0</v>
      </c>
    </row>
    <row r="52" spans="1:9" x14ac:dyDescent="0.2">
      <c r="A52" s="210" t="s">
        <v>317</v>
      </c>
      <c r="B52" s="65" t="s">
        <v>390</v>
      </c>
      <c r="C52" s="211" t="s">
        <v>379</v>
      </c>
      <c r="D52" s="211" t="s">
        <v>347</v>
      </c>
      <c r="E52" s="212">
        <f>+GCP!F36</f>
        <v>81718522.170000002</v>
      </c>
      <c r="F52" s="211" t="s">
        <v>349</v>
      </c>
      <c r="G52" s="211" t="s">
        <v>347</v>
      </c>
      <c r="H52" s="212">
        <f>+CTG!F15</f>
        <v>81718522.170000002</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100310830</v>
      </c>
      <c r="F54" s="211" t="s">
        <v>354</v>
      </c>
      <c r="G54" s="211" t="s">
        <v>341</v>
      </c>
      <c r="H54" s="212">
        <f>+COG!B76</f>
        <v>100310830</v>
      </c>
      <c r="I54" s="213">
        <f>+ROUND(E54-H54,2)</f>
        <v>0</v>
      </c>
    </row>
    <row r="55" spans="1:9" ht="22.5" x14ac:dyDescent="0.2">
      <c r="A55" s="210" t="s">
        <v>315</v>
      </c>
      <c r="B55" s="65" t="s">
        <v>392</v>
      </c>
      <c r="C55" s="211" t="s">
        <v>379</v>
      </c>
      <c r="D55" s="211" t="s">
        <v>331</v>
      </c>
      <c r="E55" s="212">
        <f>+GCP!C36</f>
        <v>9747281.9100000001</v>
      </c>
      <c r="F55" s="211" t="s">
        <v>354</v>
      </c>
      <c r="G55" s="211" t="s">
        <v>331</v>
      </c>
      <c r="H55" s="212">
        <f>+COG!C76</f>
        <v>9747281.9100000001</v>
      </c>
      <c r="I55" s="213">
        <f>+ROUND(E55-H55,2)</f>
        <v>0</v>
      </c>
    </row>
    <row r="56" spans="1:9" x14ac:dyDescent="0.2">
      <c r="A56" s="210" t="s">
        <v>316</v>
      </c>
      <c r="B56" s="65" t="s">
        <v>393</v>
      </c>
      <c r="C56" s="211" t="s">
        <v>379</v>
      </c>
      <c r="D56" s="211" t="s">
        <v>334</v>
      </c>
      <c r="E56" s="212">
        <f>+GCP!E36</f>
        <v>83487747.150000006</v>
      </c>
      <c r="F56" s="211" t="s">
        <v>354</v>
      </c>
      <c r="G56" s="211" t="s">
        <v>334</v>
      </c>
      <c r="H56" s="212">
        <f>+CTG!E15</f>
        <v>83487747.149999991</v>
      </c>
      <c r="I56" s="213">
        <f>ROUND(E56-H56,2)</f>
        <v>0</v>
      </c>
    </row>
    <row r="57" spans="1:9" x14ac:dyDescent="0.2">
      <c r="A57" s="210" t="s">
        <v>317</v>
      </c>
      <c r="B57" s="65" t="s">
        <v>394</v>
      </c>
      <c r="C57" s="211" t="s">
        <v>379</v>
      </c>
      <c r="D57" s="211" t="s">
        <v>347</v>
      </c>
      <c r="E57" s="212">
        <f>+GCP!F36</f>
        <v>81718522.170000002</v>
      </c>
      <c r="F57" s="211" t="s">
        <v>354</v>
      </c>
      <c r="G57" s="211" t="s">
        <v>347</v>
      </c>
      <c r="H57" s="212">
        <f>+COG!F76</f>
        <v>81718522.170000002</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100310830</v>
      </c>
      <c r="F59" s="211" t="s">
        <v>359</v>
      </c>
      <c r="G59" s="211" t="s">
        <v>341</v>
      </c>
      <c r="H59" s="212">
        <f>+CFG!B41</f>
        <v>100310830</v>
      </c>
      <c r="I59" s="213">
        <f>+ROUND(E59-H59,2)</f>
        <v>0</v>
      </c>
    </row>
    <row r="60" spans="1:9" ht="22.5" x14ac:dyDescent="0.2">
      <c r="A60" s="210" t="s">
        <v>315</v>
      </c>
      <c r="B60" s="65" t="s">
        <v>396</v>
      </c>
      <c r="C60" s="211" t="s">
        <v>379</v>
      </c>
      <c r="D60" s="211" t="s">
        <v>331</v>
      </c>
      <c r="E60" s="212">
        <f>+GCP!C36</f>
        <v>9747281.9100000001</v>
      </c>
      <c r="F60" s="211" t="s">
        <v>359</v>
      </c>
      <c r="G60" s="211" t="s">
        <v>331</v>
      </c>
      <c r="H60" s="212">
        <f>+CFG!C41</f>
        <v>9747281.9100000001</v>
      </c>
      <c r="I60" s="213">
        <f>+ROUND(E60-H60,2)</f>
        <v>0</v>
      </c>
    </row>
    <row r="61" spans="1:9" x14ac:dyDescent="0.2">
      <c r="A61" s="210" t="s">
        <v>316</v>
      </c>
      <c r="B61" s="65" t="s">
        <v>397</v>
      </c>
      <c r="C61" s="211" t="s">
        <v>379</v>
      </c>
      <c r="D61" s="211" t="s">
        <v>334</v>
      </c>
      <c r="E61" s="212">
        <f>+GCP!E36</f>
        <v>83487747.150000006</v>
      </c>
      <c r="F61" s="211" t="s">
        <v>359</v>
      </c>
      <c r="G61" s="211" t="s">
        <v>334</v>
      </c>
      <c r="H61" s="212">
        <f>+CFG!E41</f>
        <v>83487747.150000006</v>
      </c>
      <c r="I61" s="213">
        <f>ROUND(E61-H61,2)</f>
        <v>0</v>
      </c>
    </row>
    <row r="62" spans="1:9" x14ac:dyDescent="0.2">
      <c r="A62" s="214" t="s">
        <v>317</v>
      </c>
      <c r="B62" s="215" t="s">
        <v>398</v>
      </c>
      <c r="C62" s="216" t="s">
        <v>379</v>
      </c>
      <c r="D62" s="216" t="s">
        <v>347</v>
      </c>
      <c r="E62" s="217">
        <f>+GCP!F36</f>
        <v>81718522.170000002</v>
      </c>
      <c r="F62" s="216" t="s">
        <v>359</v>
      </c>
      <c r="G62" s="216" t="s">
        <v>347</v>
      </c>
      <c r="H62" s="217">
        <f>+CFG!F41</f>
        <v>81718522.170000002</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658</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67884026.140000001</v>
      </c>
      <c r="C4" s="431">
        <f>SUM(C5:C11)</f>
        <v>90400467.88000001</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1321061.95</v>
      </c>
      <c r="D9" s="15">
        <v>4150</v>
      </c>
    </row>
    <row r="10" spans="1:4" x14ac:dyDescent="0.2">
      <c r="A10" s="14" t="s">
        <v>109</v>
      </c>
      <c r="B10" s="433">
        <v>0</v>
      </c>
      <c r="C10" s="433">
        <v>0</v>
      </c>
      <c r="D10" s="15">
        <v>4160</v>
      </c>
    </row>
    <row r="11" spans="1:4" ht="11.25" customHeight="1" x14ac:dyDescent="0.2">
      <c r="A11" s="14" t="s">
        <v>110</v>
      </c>
      <c r="B11" s="433">
        <v>67884026.140000001</v>
      </c>
      <c r="C11" s="433">
        <v>89079405.930000007</v>
      </c>
      <c r="D11" s="15">
        <v>4170</v>
      </c>
    </row>
    <row r="12" spans="1:4" ht="11.25" customHeight="1" x14ac:dyDescent="0.25">
      <c r="A12" s="14"/>
      <c r="B12" s="434"/>
      <c r="C12" s="434"/>
      <c r="D12" s="12"/>
    </row>
    <row r="13" spans="1:4" ht="33.75" x14ac:dyDescent="0.25">
      <c r="A13" s="13" t="s">
        <v>111</v>
      </c>
      <c r="B13" s="431">
        <f>SUM(B14:B15)</f>
        <v>1039905</v>
      </c>
      <c r="C13" s="431">
        <f>SUM(C14:C15)</f>
        <v>1246552.1599999999</v>
      </c>
      <c r="D13" s="12"/>
    </row>
    <row r="14" spans="1:4" ht="22.5" x14ac:dyDescent="0.2">
      <c r="A14" s="14" t="s">
        <v>112</v>
      </c>
      <c r="B14" s="433">
        <v>0</v>
      </c>
      <c r="C14" s="433">
        <v>0</v>
      </c>
      <c r="D14" s="15">
        <v>4210</v>
      </c>
    </row>
    <row r="15" spans="1:4" ht="11.25" customHeight="1" x14ac:dyDescent="0.2">
      <c r="A15" s="14" t="s">
        <v>113</v>
      </c>
      <c r="B15" s="433">
        <v>1039905</v>
      </c>
      <c r="C15" s="433">
        <v>1246552.1599999999</v>
      </c>
      <c r="D15" s="15">
        <v>4220</v>
      </c>
    </row>
    <row r="16" spans="1:4" ht="11.25" customHeight="1" x14ac:dyDescent="0.25">
      <c r="A16" s="14"/>
      <c r="B16" s="434"/>
      <c r="C16" s="434"/>
      <c r="D16" s="12"/>
    </row>
    <row r="17" spans="1:5" ht="11.25" customHeight="1" x14ac:dyDescent="0.25">
      <c r="A17" s="13" t="s">
        <v>114</v>
      </c>
      <c r="B17" s="431">
        <f>SUM(B18:B22)</f>
        <v>286815.39</v>
      </c>
      <c r="C17" s="431">
        <f>SUM(C18:C22)</f>
        <v>587187.91</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286815.39</v>
      </c>
      <c r="C22" s="433">
        <v>587187.91</v>
      </c>
      <c r="D22" s="15">
        <v>4390</v>
      </c>
    </row>
    <row r="23" spans="1:5" ht="11.25" customHeight="1" x14ac:dyDescent="0.25">
      <c r="A23" s="16"/>
      <c r="B23" s="434"/>
      <c r="C23" s="434"/>
      <c r="D23" s="12"/>
    </row>
    <row r="24" spans="1:5" ht="11.25" customHeight="1" x14ac:dyDescent="0.25">
      <c r="A24" s="10" t="s">
        <v>120</v>
      </c>
      <c r="B24" s="431">
        <f>SUM(B4+B13+B17)</f>
        <v>69210746.530000001</v>
      </c>
      <c r="C24" s="432">
        <f>SUM(C4+C13+C17)</f>
        <v>92234207.950000003</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75231178.349999994</v>
      </c>
      <c r="C27" s="431">
        <f>SUM(C28:C30)</f>
        <v>85863960.99000001</v>
      </c>
      <c r="D27" s="12"/>
    </row>
    <row r="28" spans="1:5" ht="11.25" customHeight="1" x14ac:dyDescent="0.2">
      <c r="A28" s="14" t="s">
        <v>123</v>
      </c>
      <c r="B28" s="433">
        <v>31118333.84</v>
      </c>
      <c r="C28" s="433">
        <v>40787596.57</v>
      </c>
      <c r="D28" s="15">
        <v>5110</v>
      </c>
    </row>
    <row r="29" spans="1:5" ht="11.25" customHeight="1" x14ac:dyDescent="0.2">
      <c r="A29" s="14" t="s">
        <v>124</v>
      </c>
      <c r="B29" s="433">
        <v>16280435.189999999</v>
      </c>
      <c r="C29" s="433">
        <v>12810668.32</v>
      </c>
      <c r="D29" s="15">
        <v>5120</v>
      </c>
    </row>
    <row r="30" spans="1:5" ht="11.25" customHeight="1" x14ac:dyDescent="0.2">
      <c r="A30" s="14" t="s">
        <v>125</v>
      </c>
      <c r="B30" s="433">
        <v>27832409.32</v>
      </c>
      <c r="C30" s="433">
        <v>32265696.100000001</v>
      </c>
      <c r="D30" s="15">
        <v>5130</v>
      </c>
    </row>
    <row r="31" spans="1:5" ht="11.25" customHeight="1" x14ac:dyDescent="0.25">
      <c r="A31" s="14"/>
      <c r="B31" s="434"/>
      <c r="C31" s="434"/>
      <c r="D31" s="12"/>
    </row>
    <row r="32" spans="1:5" ht="11.25" customHeight="1" x14ac:dyDescent="0.25">
      <c r="A32" s="13" t="s">
        <v>126</v>
      </c>
      <c r="B32" s="431">
        <f>SUM(B33:B41)</f>
        <v>0</v>
      </c>
      <c r="C32" s="431">
        <f>SUM(C33:C41)</f>
        <v>20885.990000000002</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0</v>
      </c>
      <c r="C36" s="433">
        <v>20885.990000000002</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26437034.789999999</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26437034.789999999</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4470071.0199999996</v>
      </c>
      <c r="D55" s="12"/>
    </row>
    <row r="56" spans="1:5" ht="11.25" customHeight="1" x14ac:dyDescent="0.2">
      <c r="A56" s="14" t="s">
        <v>147</v>
      </c>
      <c r="B56" s="433">
        <v>0</v>
      </c>
      <c r="C56" s="433">
        <v>4470071.0199999996</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75231178.349999994</v>
      </c>
      <c r="C64" s="432">
        <f>C61+C55+C48+C43+C32+C27</f>
        <v>116791952.79000001</v>
      </c>
      <c r="D64" s="12"/>
      <c r="E64" s="12"/>
    </row>
    <row r="65" spans="1:8" ht="11.25" customHeight="1" x14ac:dyDescent="0.25">
      <c r="A65" s="17"/>
      <c r="B65" s="434"/>
      <c r="C65" s="434"/>
      <c r="D65" s="12"/>
      <c r="E65" s="12"/>
    </row>
    <row r="66" spans="1:8" s="12" customFormat="1" x14ac:dyDescent="0.25">
      <c r="A66" s="10" t="s">
        <v>154</v>
      </c>
      <c r="B66" s="431">
        <f>B24-B64</f>
        <v>-6020431.8199999928</v>
      </c>
      <c r="C66" s="431">
        <f>C24-C64</f>
        <v>-24557744.840000004</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659</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4321212.79</v>
      </c>
      <c r="C5" s="425">
        <v>19173913.719999999</v>
      </c>
      <c r="D5" s="14" t="s">
        <v>161</v>
      </c>
      <c r="E5" s="425">
        <v>3013777.77</v>
      </c>
      <c r="F5" s="428">
        <v>2189205.58</v>
      </c>
    </row>
    <row r="6" spans="1:6" x14ac:dyDescent="0.25">
      <c r="A6" s="14" t="s">
        <v>162</v>
      </c>
      <c r="B6" s="425">
        <v>5850055.3300000001</v>
      </c>
      <c r="C6" s="425">
        <v>5691196.79</v>
      </c>
      <c r="D6" s="14" t="s">
        <v>163</v>
      </c>
      <c r="E6" s="425">
        <v>0</v>
      </c>
      <c r="F6" s="428">
        <v>0</v>
      </c>
    </row>
    <row r="7" spans="1:6" x14ac:dyDescent="0.25">
      <c r="A7" s="14" t="s">
        <v>164</v>
      </c>
      <c r="B7" s="425">
        <v>362036.94</v>
      </c>
      <c r="C7" s="425">
        <v>928451.14</v>
      </c>
      <c r="D7" s="14" t="s">
        <v>165</v>
      </c>
      <c r="E7" s="425">
        <v>0</v>
      </c>
      <c r="F7" s="428">
        <v>0</v>
      </c>
    </row>
    <row r="8" spans="1:6" x14ac:dyDescent="0.25">
      <c r="A8" s="14" t="s">
        <v>166</v>
      </c>
      <c r="B8" s="425">
        <v>0</v>
      </c>
      <c r="C8" s="425">
        <v>0</v>
      </c>
      <c r="D8" s="14" t="s">
        <v>167</v>
      </c>
      <c r="E8" s="425">
        <v>0</v>
      </c>
      <c r="F8" s="428">
        <v>0</v>
      </c>
    </row>
    <row r="9" spans="1:6" x14ac:dyDescent="0.25">
      <c r="A9" s="14" t="s">
        <v>168</v>
      </c>
      <c r="B9" s="425">
        <v>3946700.15</v>
      </c>
      <c r="C9" s="425">
        <v>1913073.33</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-0.68</v>
      </c>
      <c r="F12" s="428">
        <v>-0.68</v>
      </c>
    </row>
    <row r="13" spans="1:6" x14ac:dyDescent="0.25">
      <c r="A13" s="13" t="s">
        <v>175</v>
      </c>
      <c r="B13" s="427">
        <f>SUM(B5:B11)</f>
        <v>14480005.210000001</v>
      </c>
      <c r="C13" s="427">
        <f>SUM(C5:C11)</f>
        <v>27706634.979999997</v>
      </c>
      <c r="D13" s="16"/>
      <c r="E13" s="429"/>
      <c r="F13" s="430"/>
    </row>
    <row r="14" spans="1:6" x14ac:dyDescent="0.25">
      <c r="A14" s="17"/>
      <c r="B14" s="426"/>
      <c r="C14" s="426"/>
      <c r="D14" s="13" t="s">
        <v>176</v>
      </c>
      <c r="E14" s="431">
        <f>SUM(E5:E12)</f>
        <v>3013777.09</v>
      </c>
      <c r="F14" s="432">
        <f>SUM(F5:F12)</f>
        <v>2189204.9</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196783840.52000001</v>
      </c>
      <c r="C18" s="425">
        <v>189969657.13999999</v>
      </c>
      <c r="D18" s="14" t="s">
        <v>183</v>
      </c>
      <c r="E18" s="425">
        <v>0</v>
      </c>
      <c r="F18" s="428">
        <v>0</v>
      </c>
    </row>
    <row r="19" spans="1:6" x14ac:dyDescent="0.25">
      <c r="A19" s="14" t="s">
        <v>184</v>
      </c>
      <c r="B19" s="425">
        <v>31605987.609999999</v>
      </c>
      <c r="C19" s="425">
        <v>30315891.190000001</v>
      </c>
      <c r="D19" s="14" t="s">
        <v>185</v>
      </c>
      <c r="E19" s="425">
        <v>0</v>
      </c>
      <c r="F19" s="428">
        <v>0</v>
      </c>
    </row>
    <row r="20" spans="1:6" x14ac:dyDescent="0.25">
      <c r="A20" s="14" t="s">
        <v>186</v>
      </c>
      <c r="B20" s="425">
        <v>8355196.3399999999</v>
      </c>
      <c r="C20" s="425">
        <v>8202907.3399999999</v>
      </c>
      <c r="D20" s="14" t="s">
        <v>187</v>
      </c>
      <c r="E20" s="425">
        <v>0</v>
      </c>
      <c r="F20" s="428">
        <v>0</v>
      </c>
    </row>
    <row r="21" spans="1:6" ht="22.5" x14ac:dyDescent="0.25">
      <c r="A21" s="14" t="s">
        <v>188</v>
      </c>
      <c r="B21" s="425">
        <v>-51729394.200000003</v>
      </c>
      <c r="C21" s="425">
        <v>-51729394.200000003</v>
      </c>
      <c r="D21" s="14" t="s">
        <v>189</v>
      </c>
      <c r="E21" s="425">
        <v>0</v>
      </c>
      <c r="F21" s="428">
        <v>0</v>
      </c>
    </row>
    <row r="22" spans="1:6" x14ac:dyDescent="0.25">
      <c r="A22" s="14" t="s">
        <v>190</v>
      </c>
      <c r="B22" s="425">
        <v>400359.9</v>
      </c>
      <c r="C22" s="425">
        <v>626158.56000000006</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185415990.16999999</v>
      </c>
      <c r="C26" s="427">
        <f>SUM(C16:C24)</f>
        <v>177385220.02999997</v>
      </c>
      <c r="D26" s="24" t="s">
        <v>196</v>
      </c>
      <c r="E26" s="427">
        <f>SUM(E24+E14)</f>
        <v>3013777.09</v>
      </c>
      <c r="F26" s="432">
        <f>SUM(F14+F24)</f>
        <v>2189204.9</v>
      </c>
    </row>
    <row r="27" spans="1:6" x14ac:dyDescent="0.25">
      <c r="A27" s="17"/>
      <c r="B27" s="426"/>
      <c r="C27" s="426"/>
      <c r="D27" s="17"/>
      <c r="E27" s="426"/>
      <c r="F27" s="430"/>
    </row>
    <row r="28" spans="1:6" x14ac:dyDescent="0.25">
      <c r="A28" s="13" t="s">
        <v>197</v>
      </c>
      <c r="B28" s="427">
        <f>B13+B26</f>
        <v>199895995.38</v>
      </c>
      <c r="C28" s="427">
        <f>C13+C26</f>
        <v>205091855.00999996</v>
      </c>
      <c r="D28" s="10" t="s">
        <v>198</v>
      </c>
      <c r="E28" s="426"/>
      <c r="F28" s="426"/>
    </row>
    <row r="29" spans="1:6" x14ac:dyDescent="0.25">
      <c r="A29" s="25"/>
      <c r="B29" s="26"/>
      <c r="C29" s="23"/>
      <c r="D29" s="17"/>
      <c r="E29" s="426"/>
      <c r="F29" s="426"/>
    </row>
    <row r="30" spans="1:6" x14ac:dyDescent="0.25">
      <c r="A30" s="25"/>
      <c r="B30" s="26"/>
      <c r="C30" s="23"/>
      <c r="D30" s="13" t="s">
        <v>199</v>
      </c>
      <c r="E30" s="427">
        <f>SUM(E31:E33)</f>
        <v>113065968.13</v>
      </c>
      <c r="F30" s="432">
        <f>SUM(F31:F33)</f>
        <v>113065968.13</v>
      </c>
    </row>
    <row r="31" spans="1:6" x14ac:dyDescent="0.25">
      <c r="A31" s="25"/>
      <c r="B31" s="26"/>
      <c r="C31" s="23"/>
      <c r="D31" s="14" t="s">
        <v>138</v>
      </c>
      <c r="E31" s="425">
        <v>113065968.13</v>
      </c>
      <c r="F31" s="428">
        <v>113065968.13</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83816250.159999996</v>
      </c>
      <c r="F35" s="432">
        <f>SUM(F36:F40)</f>
        <v>89836681.979999989</v>
      </c>
    </row>
    <row r="36" spans="1:6" x14ac:dyDescent="0.25">
      <c r="A36" s="25"/>
      <c r="B36" s="26"/>
      <c r="C36" s="23"/>
      <c r="D36" s="14" t="s">
        <v>203</v>
      </c>
      <c r="E36" s="425">
        <v>-6020431.8200000003</v>
      </c>
      <c r="F36" s="428">
        <v>-24557744.84</v>
      </c>
    </row>
    <row r="37" spans="1:6" x14ac:dyDescent="0.25">
      <c r="A37" s="25"/>
      <c r="B37" s="26"/>
      <c r="C37" s="23"/>
      <c r="D37" s="14" t="s">
        <v>204</v>
      </c>
      <c r="E37" s="425">
        <v>89836681.980000004</v>
      </c>
      <c r="F37" s="428">
        <v>114394426.81999999</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196882218.28999999</v>
      </c>
      <c r="F46" s="432">
        <f>SUM(F42+F35+F30)</f>
        <v>202902650.10999998</v>
      </c>
    </row>
    <row r="47" spans="1:6" x14ac:dyDescent="0.25">
      <c r="A47" s="25"/>
      <c r="B47" s="26"/>
      <c r="C47" s="23"/>
      <c r="D47" s="17"/>
      <c r="E47" s="426"/>
      <c r="F47" s="430"/>
    </row>
    <row r="48" spans="1:6" x14ac:dyDescent="0.25">
      <c r="A48" s="25"/>
      <c r="B48" s="26"/>
      <c r="C48" s="23"/>
      <c r="D48" s="13" t="s">
        <v>212</v>
      </c>
      <c r="E48" s="427">
        <f>E46+E26</f>
        <v>199895995.38</v>
      </c>
      <c r="F48" s="427">
        <f>F46+F26</f>
        <v>205091855.00999999</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20">
        <f>SUM(B5:B7)</f>
        <v>113065968.13</v>
      </c>
      <c r="C4" s="421"/>
      <c r="D4" s="421"/>
      <c r="E4" s="421"/>
      <c r="F4" s="420">
        <f>SUM(B4:E4)</f>
        <v>113065968.13</v>
      </c>
    </row>
    <row r="5" spans="1:6" ht="11.25" customHeight="1" x14ac:dyDescent="0.2">
      <c r="A5" s="35" t="s">
        <v>138</v>
      </c>
      <c r="B5" s="422">
        <v>113065968.13</v>
      </c>
      <c r="C5" s="421"/>
      <c r="D5" s="421"/>
      <c r="E5" s="421"/>
      <c r="F5" s="420">
        <f>SUM(B5:E5)</f>
        <v>113065968.13</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661</v>
      </c>
      <c r="B9" s="421"/>
      <c r="C9" s="420">
        <f>SUM(C10:C14)</f>
        <v>114394426.81999999</v>
      </c>
      <c r="D9" s="420">
        <f>D10</f>
        <v>-24557744.84</v>
      </c>
      <c r="E9" s="421"/>
      <c r="F9" s="420">
        <f t="shared" ref="F9:F14" si="0">SUM(B9:E9)</f>
        <v>89836681.979999989</v>
      </c>
    </row>
    <row r="10" spans="1:6" ht="11.25" customHeight="1" x14ac:dyDescent="0.2">
      <c r="A10" s="35" t="s">
        <v>154</v>
      </c>
      <c r="B10" s="421"/>
      <c r="C10" s="421"/>
      <c r="D10" s="422">
        <v>-24557744.84</v>
      </c>
      <c r="E10" s="421"/>
      <c r="F10" s="420">
        <f t="shared" si="0"/>
        <v>-24557744.84</v>
      </c>
    </row>
    <row r="11" spans="1:6" ht="11.25" customHeight="1" x14ac:dyDescent="0.2">
      <c r="A11" s="35" t="s">
        <v>204</v>
      </c>
      <c r="B11" s="421"/>
      <c r="C11" s="422">
        <v>114394426.81999999</v>
      </c>
      <c r="D11" s="421"/>
      <c r="E11" s="421"/>
      <c r="F11" s="420">
        <f t="shared" si="0"/>
        <v>114394426.81999999</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663</v>
      </c>
      <c r="B20" s="420">
        <f>B4</f>
        <v>113065968.13</v>
      </c>
      <c r="C20" s="420">
        <f>C9</f>
        <v>114394426.81999999</v>
      </c>
      <c r="D20" s="420">
        <f>D9</f>
        <v>-24557744.84</v>
      </c>
      <c r="E20" s="420">
        <f>E16</f>
        <v>0</v>
      </c>
      <c r="F20" s="420">
        <f>SUM(B20:E20)</f>
        <v>202902650.10999998</v>
      </c>
    </row>
    <row r="21" spans="1:6" ht="11.25" customHeight="1" x14ac:dyDescent="0.25">
      <c r="A21" s="37"/>
      <c r="B21" s="421"/>
      <c r="C21" s="421"/>
      <c r="D21" s="421"/>
      <c r="E21" s="421"/>
      <c r="F21" s="421"/>
    </row>
    <row r="22" spans="1:6" ht="11.25" customHeight="1" x14ac:dyDescent="0.2">
      <c r="A22" s="34" t="s">
        <v>664</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665</v>
      </c>
      <c r="B27" s="421"/>
      <c r="C27" s="420">
        <f>C29</f>
        <v>-24557744.84</v>
      </c>
      <c r="D27" s="420">
        <f>SUM(D28:D32)</f>
        <v>18537313.02</v>
      </c>
      <c r="E27" s="421"/>
      <c r="F27" s="420">
        <f t="shared" ref="F27:F32" si="1">SUM(B27:E27)</f>
        <v>-6020431.8200000003</v>
      </c>
    </row>
    <row r="28" spans="1:6" ht="11.25" customHeight="1" x14ac:dyDescent="0.2">
      <c r="A28" s="35" t="s">
        <v>154</v>
      </c>
      <c r="B28" s="421"/>
      <c r="C28" s="421"/>
      <c r="D28" s="422">
        <v>-6020431.8200000003</v>
      </c>
      <c r="E28" s="421"/>
      <c r="F28" s="420">
        <f t="shared" si="1"/>
        <v>-6020431.8200000003</v>
      </c>
    </row>
    <row r="29" spans="1:6" ht="11.25" customHeight="1" x14ac:dyDescent="0.2">
      <c r="A29" s="35" t="s">
        <v>204</v>
      </c>
      <c r="B29" s="421"/>
      <c r="C29" s="422">
        <v>-24557744.84</v>
      </c>
      <c r="D29" s="422">
        <v>24557744.84</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667</v>
      </c>
      <c r="B38" s="424">
        <f>B20+B22</f>
        <v>113065968.13</v>
      </c>
      <c r="C38" s="424">
        <f>+C20+C27</f>
        <v>89836681.979999989</v>
      </c>
      <c r="D38" s="424">
        <f>D20+D27</f>
        <v>-6020431.8200000003</v>
      </c>
      <c r="E38" s="424">
        <f>+E20+E34</f>
        <v>0</v>
      </c>
      <c r="F38" s="424">
        <f>SUM(B38:E38)</f>
        <v>196882218.28999999</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669</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15644913.789999999</v>
      </c>
      <c r="C3" s="418">
        <f>C4+C13</f>
        <v>10449054.16</v>
      </c>
    </row>
    <row r="4" spans="1:3" ht="11.25" customHeight="1" x14ac:dyDescent="0.25">
      <c r="A4" s="43" t="s">
        <v>158</v>
      </c>
      <c r="B4" s="418">
        <f>SUM(B5:B11)</f>
        <v>15419115.129999999</v>
      </c>
      <c r="C4" s="418">
        <f>SUM(C5:C11)</f>
        <v>2192485.36</v>
      </c>
    </row>
    <row r="5" spans="1:3" ht="11.25" customHeight="1" x14ac:dyDescent="0.25">
      <c r="A5" s="44" t="s">
        <v>160</v>
      </c>
      <c r="B5" s="419">
        <v>14852700.93</v>
      </c>
      <c r="C5" s="419">
        <v>0</v>
      </c>
    </row>
    <row r="6" spans="1:3" ht="11.25" customHeight="1" x14ac:dyDescent="0.25">
      <c r="A6" s="44" t="s">
        <v>162</v>
      </c>
      <c r="B6" s="419">
        <v>0</v>
      </c>
      <c r="C6" s="419">
        <v>158858.54</v>
      </c>
    </row>
    <row r="7" spans="1:3" ht="11.25" customHeight="1" x14ac:dyDescent="0.25">
      <c r="A7" s="44" t="s">
        <v>164</v>
      </c>
      <c r="B7" s="419">
        <v>566414.19999999995</v>
      </c>
      <c r="C7" s="419">
        <v>0</v>
      </c>
    </row>
    <row r="8" spans="1:3" ht="11.25" customHeight="1" x14ac:dyDescent="0.25">
      <c r="A8" s="44" t="s">
        <v>166</v>
      </c>
      <c r="B8" s="419">
        <v>0</v>
      </c>
      <c r="C8" s="419">
        <v>0</v>
      </c>
    </row>
    <row r="9" spans="1:3" ht="11.25" customHeight="1" x14ac:dyDescent="0.25">
      <c r="A9" s="44" t="s">
        <v>168</v>
      </c>
      <c r="B9" s="419">
        <v>0</v>
      </c>
      <c r="C9" s="419">
        <v>2033626.82</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225798.66</v>
      </c>
      <c r="C13" s="418">
        <f>SUM(C14:C22)</f>
        <v>8256568.7999999998</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6814183.3799999999</v>
      </c>
    </row>
    <row r="17" spans="1:3" ht="11.25" customHeight="1" x14ac:dyDescent="0.25">
      <c r="A17" s="44" t="s">
        <v>184</v>
      </c>
      <c r="B17" s="419">
        <v>0</v>
      </c>
      <c r="C17" s="419">
        <v>1290096.42</v>
      </c>
    </row>
    <row r="18" spans="1:3" ht="11.25" customHeight="1" x14ac:dyDescent="0.25">
      <c r="A18" s="44" t="s">
        <v>186</v>
      </c>
      <c r="B18" s="419">
        <v>0</v>
      </c>
      <c r="C18" s="419">
        <v>152289</v>
      </c>
    </row>
    <row r="19" spans="1:3" ht="11.25" customHeight="1" x14ac:dyDescent="0.25">
      <c r="A19" s="44" t="s">
        <v>188</v>
      </c>
      <c r="B19" s="419">
        <v>0</v>
      </c>
      <c r="C19" s="419">
        <v>0</v>
      </c>
    </row>
    <row r="20" spans="1:3" ht="11.25" customHeight="1" x14ac:dyDescent="0.25">
      <c r="A20" s="44" t="s">
        <v>190</v>
      </c>
      <c r="B20" s="419">
        <v>225798.66</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824572.19</v>
      </c>
      <c r="C24" s="418">
        <f>C25+C35</f>
        <v>0</v>
      </c>
    </row>
    <row r="25" spans="1:3" ht="11.25" customHeight="1" x14ac:dyDescent="0.25">
      <c r="A25" s="43" t="s">
        <v>159</v>
      </c>
      <c r="B25" s="418">
        <f>SUM(B26:B33)</f>
        <v>824572.19</v>
      </c>
      <c r="C25" s="418">
        <f>SUM(C26:C33)</f>
        <v>0</v>
      </c>
    </row>
    <row r="26" spans="1:3" ht="11.25" customHeight="1" x14ac:dyDescent="0.25">
      <c r="A26" s="44" t="s">
        <v>161</v>
      </c>
      <c r="B26" s="419">
        <v>824572.19</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18537313.02</v>
      </c>
      <c r="C43" s="418">
        <f>C45+C50+C57</f>
        <v>24557744.84</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18537313.02</v>
      </c>
      <c r="C50" s="418">
        <f>SUM(C51:C55)</f>
        <v>24557744.84</v>
      </c>
    </row>
    <row r="51" spans="1:3" ht="11.25" customHeight="1" x14ac:dyDescent="0.25">
      <c r="A51" s="44" t="s">
        <v>203</v>
      </c>
      <c r="B51" s="419">
        <v>18537313.02</v>
      </c>
      <c r="C51" s="419">
        <v>0</v>
      </c>
    </row>
    <row r="52" spans="1:3" ht="11.25" customHeight="1" x14ac:dyDescent="0.25">
      <c r="A52" s="44" t="s">
        <v>204</v>
      </c>
      <c r="B52" s="419">
        <v>0</v>
      </c>
      <c r="C52" s="419">
        <v>24557744.84</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69194321.659999996</v>
      </c>
      <c r="C4" s="412">
        <f>SUM(C5:C14)</f>
        <v>92234207.950000003</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1321061.95</v>
      </c>
      <c r="D9" s="50">
        <v>500000</v>
      </c>
    </row>
    <row r="10" spans="1:22" ht="11.25" customHeight="1" x14ac:dyDescent="0.2">
      <c r="A10" s="44" t="s">
        <v>109</v>
      </c>
      <c r="B10" s="413">
        <v>0</v>
      </c>
      <c r="C10" s="413">
        <v>0</v>
      </c>
      <c r="D10" s="50">
        <v>600000</v>
      </c>
    </row>
    <row r="11" spans="1:22" ht="11.25" customHeight="1" x14ac:dyDescent="0.2">
      <c r="A11" s="44" t="s">
        <v>110</v>
      </c>
      <c r="B11" s="413">
        <v>68154416.579999998</v>
      </c>
      <c r="C11" s="413">
        <v>89666593.810000002</v>
      </c>
      <c r="D11" s="50">
        <v>700000</v>
      </c>
    </row>
    <row r="12" spans="1:22" ht="22.5" x14ac:dyDescent="0.2">
      <c r="A12" s="44" t="s">
        <v>112</v>
      </c>
      <c r="B12" s="413">
        <v>0</v>
      </c>
      <c r="C12" s="413">
        <v>0</v>
      </c>
      <c r="D12" s="50">
        <v>800000</v>
      </c>
    </row>
    <row r="13" spans="1:22" ht="11.25" customHeight="1" x14ac:dyDescent="0.2">
      <c r="A13" s="44" t="s">
        <v>113</v>
      </c>
      <c r="B13" s="413">
        <v>1039905.08</v>
      </c>
      <c r="C13" s="413">
        <v>1246552.19</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73461953.370000005</v>
      </c>
      <c r="C16" s="412">
        <f>SUM(C17:C32)</f>
        <v>111092171.01999998</v>
      </c>
      <c r="D16" s="49" t="s">
        <v>221</v>
      </c>
    </row>
    <row r="17" spans="1:4" ht="11.25" customHeight="1" x14ac:dyDescent="0.2">
      <c r="A17" s="44" t="s">
        <v>123</v>
      </c>
      <c r="B17" s="413">
        <v>30915833.829999998</v>
      </c>
      <c r="C17" s="413">
        <v>40008420.43</v>
      </c>
      <c r="D17" s="50">
        <v>1000</v>
      </c>
    </row>
    <row r="18" spans="1:4" ht="11.25" customHeight="1" x14ac:dyDescent="0.2">
      <c r="A18" s="44" t="s">
        <v>124</v>
      </c>
      <c r="B18" s="413">
        <v>15195555.42</v>
      </c>
      <c r="C18" s="413">
        <v>12810668.32</v>
      </c>
      <c r="D18" s="50">
        <v>2000</v>
      </c>
    </row>
    <row r="19" spans="1:4" ht="11.25" customHeight="1" x14ac:dyDescent="0.2">
      <c r="A19" s="44" t="s">
        <v>125</v>
      </c>
      <c r="B19" s="413">
        <v>27350564.120000001</v>
      </c>
      <c r="C19" s="413">
        <v>31815161.489999998</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20885.990000000002</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26437034.789999999</v>
      </c>
      <c r="D31" s="50">
        <v>8500</v>
      </c>
    </row>
    <row r="32" spans="1:4" ht="11.25" customHeight="1" x14ac:dyDescent="0.2">
      <c r="A32" s="44" t="s">
        <v>225</v>
      </c>
      <c r="B32" s="413">
        <v>0</v>
      </c>
      <c r="C32" s="413">
        <v>0</v>
      </c>
      <c r="D32" s="49" t="s">
        <v>221</v>
      </c>
    </row>
    <row r="33" spans="1:4" ht="11.25" customHeight="1" x14ac:dyDescent="0.2">
      <c r="A33" s="34" t="s">
        <v>226</v>
      </c>
      <c r="B33" s="412">
        <f>B4-B16</f>
        <v>-4267631.7100000083</v>
      </c>
      <c r="C33" s="412">
        <f>C4-C16</f>
        <v>-18857963.069999978</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8256568.7999999998</v>
      </c>
      <c r="C41" s="412">
        <f>SUM(C42:C44)</f>
        <v>23247910.960000001</v>
      </c>
      <c r="D41" s="49" t="s">
        <v>221</v>
      </c>
    </row>
    <row r="42" spans="1:4" ht="11.25" customHeight="1" x14ac:dyDescent="0.2">
      <c r="A42" s="44" t="s">
        <v>182</v>
      </c>
      <c r="B42" s="413">
        <v>6814183.3799999999</v>
      </c>
      <c r="C42" s="413">
        <v>16648040.02</v>
      </c>
      <c r="D42" s="49">
        <v>6000</v>
      </c>
    </row>
    <row r="43" spans="1:4" ht="11.25" customHeight="1" x14ac:dyDescent="0.2">
      <c r="A43" s="44" t="s">
        <v>184</v>
      </c>
      <c r="B43" s="413">
        <v>1442385.42</v>
      </c>
      <c r="C43" s="413">
        <v>6599870.9400000004</v>
      </c>
      <c r="D43" s="49">
        <v>5000</v>
      </c>
    </row>
    <row r="44" spans="1:4" ht="11.25" customHeight="1" x14ac:dyDescent="0.2">
      <c r="A44" s="44" t="s">
        <v>229</v>
      </c>
      <c r="B44" s="413">
        <v>0</v>
      </c>
      <c r="C44" s="413">
        <v>0</v>
      </c>
      <c r="D44" s="49">
        <v>7000</v>
      </c>
    </row>
    <row r="45" spans="1:4" ht="11.25" customHeight="1" x14ac:dyDescent="0.2">
      <c r="A45" s="34" t="s">
        <v>230</v>
      </c>
      <c r="B45" s="412">
        <f>B36-B41</f>
        <v>-8256568.7999999998</v>
      </c>
      <c r="C45" s="412">
        <f>C36-C41</f>
        <v>-23247910.960000001</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135847.47</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135847.47</v>
      </c>
      <c r="D52" s="51"/>
    </row>
    <row r="53" spans="1:4" ht="11.25" customHeight="1" x14ac:dyDescent="0.2">
      <c r="A53" s="45"/>
      <c r="B53" s="414"/>
      <c r="C53" s="414"/>
      <c r="D53" s="49" t="s">
        <v>221</v>
      </c>
    </row>
    <row r="54" spans="1:4" ht="11.25" customHeight="1" x14ac:dyDescent="0.2">
      <c r="A54" s="43" t="s">
        <v>219</v>
      </c>
      <c r="B54" s="412">
        <f>SUM(B55+B58)</f>
        <v>2328500.42</v>
      </c>
      <c r="C54" s="412">
        <f>SUM(C55+C58)</f>
        <v>0</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2328500.42</v>
      </c>
      <c r="C58" s="413">
        <v>0</v>
      </c>
      <c r="D58" s="49" t="s">
        <v>221</v>
      </c>
    </row>
    <row r="59" spans="1:4" ht="11.25" customHeight="1" x14ac:dyDescent="0.2">
      <c r="A59" s="34" t="s">
        <v>242</v>
      </c>
      <c r="B59" s="412">
        <f>B48-B54</f>
        <v>-2328500.42</v>
      </c>
      <c r="C59" s="412">
        <f>C48-C54</f>
        <v>135847.47</v>
      </c>
      <c r="D59" s="49" t="s">
        <v>221</v>
      </c>
    </row>
    <row r="60" spans="1:4" ht="11.25" customHeight="1" x14ac:dyDescent="0.2">
      <c r="A60" s="37"/>
      <c r="B60" s="414"/>
      <c r="C60" s="414"/>
      <c r="D60" s="49" t="s">
        <v>221</v>
      </c>
    </row>
    <row r="61" spans="1:4" ht="11.25" customHeight="1" x14ac:dyDescent="0.2">
      <c r="A61" s="34" t="s">
        <v>243</v>
      </c>
      <c r="B61" s="412">
        <f>B59+B45+B33</f>
        <v>-14852700.930000007</v>
      </c>
      <c r="C61" s="412">
        <f>C59+C45+C33</f>
        <v>-41970026.55999998</v>
      </c>
      <c r="D61" s="49" t="s">
        <v>221</v>
      </c>
    </row>
    <row r="62" spans="1:4" ht="11.25" customHeight="1" x14ac:dyDescent="0.2">
      <c r="A62" s="37"/>
      <c r="B62" s="414"/>
      <c r="C62" s="414"/>
      <c r="D62" s="49" t="s">
        <v>221</v>
      </c>
    </row>
    <row r="63" spans="1:4" ht="11.25" customHeight="1" x14ac:dyDescent="0.2">
      <c r="A63" s="34" t="s">
        <v>244</v>
      </c>
      <c r="B63" s="412">
        <v>19173913.719999999</v>
      </c>
      <c r="C63" s="412">
        <v>61143940.280000001</v>
      </c>
      <c r="D63" s="49" t="s">
        <v>221</v>
      </c>
    </row>
    <row r="64" spans="1:4" ht="11.25" customHeight="1" x14ac:dyDescent="0.2">
      <c r="A64" s="37"/>
      <c r="B64" s="414"/>
      <c r="C64" s="414"/>
      <c r="D64" s="49" t="s">
        <v>221</v>
      </c>
    </row>
    <row r="65" spans="1:4" ht="11.25" customHeight="1" x14ac:dyDescent="0.2">
      <c r="A65" s="34" t="s">
        <v>245</v>
      </c>
      <c r="B65" s="412">
        <v>4321212.79</v>
      </c>
      <c r="C65" s="412">
        <v>19173913.719999999</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671</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205091855.00999996</v>
      </c>
      <c r="C3" s="412">
        <f t="shared" ref="C3:F3" si="0">C4+C12</f>
        <v>258642276.19000003</v>
      </c>
      <c r="D3" s="412">
        <f t="shared" si="0"/>
        <v>263838135.82000002</v>
      </c>
      <c r="E3" s="412">
        <f t="shared" si="0"/>
        <v>199895995.38</v>
      </c>
      <c r="F3" s="412">
        <f t="shared" si="0"/>
        <v>-5195859.6299999692</v>
      </c>
    </row>
    <row r="4" spans="1:6" x14ac:dyDescent="0.2">
      <c r="A4" s="56" t="s">
        <v>158</v>
      </c>
      <c r="B4" s="412">
        <f>SUM(B5:B11)</f>
        <v>27706634.979999997</v>
      </c>
      <c r="C4" s="412">
        <f>SUM(C5:C11)</f>
        <v>235556429.17000002</v>
      </c>
      <c r="D4" s="412">
        <f>SUM(D5:D11)</f>
        <v>248783058.94000003</v>
      </c>
      <c r="E4" s="412">
        <f>SUM(E5:E11)</f>
        <v>14480005.210000005</v>
      </c>
      <c r="F4" s="412">
        <f>SUM(F5:F11)</f>
        <v>-13226629.769999992</v>
      </c>
    </row>
    <row r="5" spans="1:6" x14ac:dyDescent="0.2">
      <c r="A5" s="57" t="s">
        <v>160</v>
      </c>
      <c r="B5" s="413">
        <v>19173913.719999999</v>
      </c>
      <c r="C5" s="413">
        <v>126462453.84</v>
      </c>
      <c r="D5" s="413">
        <v>141315154.77000001</v>
      </c>
      <c r="E5" s="413">
        <f>B5+C5-D5</f>
        <v>4321212.7899999917</v>
      </c>
      <c r="F5" s="413">
        <f t="shared" ref="F5:F11" si="1">E5-B5</f>
        <v>-14852700.930000007</v>
      </c>
    </row>
    <row r="6" spans="1:6" x14ac:dyDescent="0.2">
      <c r="A6" s="57" t="s">
        <v>162</v>
      </c>
      <c r="B6" s="413">
        <v>5691196.79</v>
      </c>
      <c r="C6" s="413">
        <v>102984148.89</v>
      </c>
      <c r="D6" s="413">
        <v>102825290.34999999</v>
      </c>
      <c r="E6" s="413">
        <f t="shared" ref="E6:E11" si="2">B6+C6-D6</f>
        <v>5850055.3300000131</v>
      </c>
      <c r="F6" s="413">
        <f t="shared" si="1"/>
        <v>158858.54000001308</v>
      </c>
    </row>
    <row r="7" spans="1:6" x14ac:dyDescent="0.2">
      <c r="A7" s="57" t="s">
        <v>164</v>
      </c>
      <c r="B7" s="413">
        <v>928451.14</v>
      </c>
      <c r="C7" s="413">
        <v>2226902.91</v>
      </c>
      <c r="D7" s="413">
        <v>2793317.11</v>
      </c>
      <c r="E7" s="413">
        <f t="shared" si="2"/>
        <v>362036.94000000041</v>
      </c>
      <c r="F7" s="413">
        <f t="shared" si="1"/>
        <v>-566414.1999999996</v>
      </c>
    </row>
    <row r="8" spans="1:6" x14ac:dyDescent="0.2">
      <c r="A8" s="57" t="s">
        <v>166</v>
      </c>
      <c r="B8" s="413">
        <v>0</v>
      </c>
      <c r="C8" s="413">
        <v>0</v>
      </c>
      <c r="D8" s="413">
        <v>0</v>
      </c>
      <c r="E8" s="413">
        <f t="shared" si="2"/>
        <v>0</v>
      </c>
      <c r="F8" s="413">
        <f t="shared" si="1"/>
        <v>0</v>
      </c>
    </row>
    <row r="9" spans="1:6" x14ac:dyDescent="0.2">
      <c r="A9" s="57" t="s">
        <v>168</v>
      </c>
      <c r="B9" s="413">
        <v>1913073.33</v>
      </c>
      <c r="C9" s="413">
        <v>3882923.53</v>
      </c>
      <c r="D9" s="413">
        <v>1849296.71</v>
      </c>
      <c r="E9" s="413">
        <f t="shared" si="2"/>
        <v>3946700.1499999994</v>
      </c>
      <c r="F9" s="413">
        <f t="shared" si="1"/>
        <v>2033626.8199999994</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177385220.02999997</v>
      </c>
      <c r="C12" s="412">
        <f>SUM(C13:C21)</f>
        <v>23085847.02</v>
      </c>
      <c r="D12" s="412">
        <f>SUM(D13:D21)</f>
        <v>15055076.880000001</v>
      </c>
      <c r="E12" s="412">
        <f>SUM(E13:E21)</f>
        <v>185415990.16999999</v>
      </c>
      <c r="F12" s="412">
        <f>SUM(F13:F21)</f>
        <v>8030770.1400000229</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189969657.13999999</v>
      </c>
      <c r="C15" s="415">
        <v>20082268.359999999</v>
      </c>
      <c r="D15" s="415">
        <v>13268084.98</v>
      </c>
      <c r="E15" s="415">
        <f t="shared" si="4"/>
        <v>196783840.52000001</v>
      </c>
      <c r="F15" s="415">
        <f t="shared" si="3"/>
        <v>6814183.380000025</v>
      </c>
    </row>
    <row r="16" spans="1:6" x14ac:dyDescent="0.2">
      <c r="A16" s="57" t="s">
        <v>184</v>
      </c>
      <c r="B16" s="413">
        <v>30315891.190000001</v>
      </c>
      <c r="C16" s="413">
        <v>2659692.84</v>
      </c>
      <c r="D16" s="413">
        <v>1369596.42</v>
      </c>
      <c r="E16" s="413">
        <f t="shared" si="4"/>
        <v>31605987.609999999</v>
      </c>
      <c r="F16" s="413">
        <f t="shared" si="3"/>
        <v>1290096.4199999981</v>
      </c>
    </row>
    <row r="17" spans="1:6" x14ac:dyDescent="0.2">
      <c r="A17" s="57" t="s">
        <v>186</v>
      </c>
      <c r="B17" s="413">
        <v>8202907.3399999999</v>
      </c>
      <c r="C17" s="413">
        <v>304578</v>
      </c>
      <c r="D17" s="413">
        <v>152289</v>
      </c>
      <c r="E17" s="413">
        <f t="shared" si="4"/>
        <v>8355196.3399999999</v>
      </c>
      <c r="F17" s="413">
        <f t="shared" si="3"/>
        <v>152289</v>
      </c>
    </row>
    <row r="18" spans="1:6" x14ac:dyDescent="0.2">
      <c r="A18" s="57" t="s">
        <v>188</v>
      </c>
      <c r="B18" s="413">
        <v>-51729394.200000003</v>
      </c>
      <c r="C18" s="413">
        <v>0</v>
      </c>
      <c r="D18" s="413">
        <v>0</v>
      </c>
      <c r="E18" s="413">
        <f t="shared" si="4"/>
        <v>-51729394.200000003</v>
      </c>
      <c r="F18" s="413">
        <f t="shared" si="3"/>
        <v>0</v>
      </c>
    </row>
    <row r="19" spans="1:6" x14ac:dyDescent="0.2">
      <c r="A19" s="57" t="s">
        <v>190</v>
      </c>
      <c r="B19" s="413">
        <v>626158.56000000006</v>
      </c>
      <c r="C19" s="413">
        <v>39307.82</v>
      </c>
      <c r="D19" s="413">
        <v>265106.48</v>
      </c>
      <c r="E19" s="413">
        <f t="shared" si="4"/>
        <v>400359.9</v>
      </c>
      <c r="F19" s="413">
        <f t="shared" si="3"/>
        <v>-225798.66000000003</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jumapac</cp:lastModifiedBy>
  <dcterms:created xsi:type="dcterms:W3CDTF">2022-05-30T14:17:15Z</dcterms:created>
  <dcterms:modified xsi:type="dcterms:W3CDTF">2025-10-22T19:57:35Z</dcterms:modified>
</cp:coreProperties>
</file>